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bolttc.sharepoint.com/sites/ContentMarketing/Freigegebene Dokumente/ROI Calculator/"/>
    </mc:Choice>
  </mc:AlternateContent>
  <xr:revisionPtr revIDLastSave="1201" documentId="13_ncr:1_{4676592D-B1D5-4F7C-A554-6EB050D56BCF}" xr6:coauthVersionLast="47" xr6:coauthVersionMax="47" xr10:uidLastSave="{07A2922B-2A62-402B-85CF-581EFFDCE062}"/>
  <bookViews>
    <workbookView xWindow="-98" yWindow="-98" windowWidth="28996" windowHeight="15675" xr2:uid="{00000000-000D-0000-FFFF-FFFF00000000}"/>
  </bookViews>
  <sheets>
    <sheet name="Intro" sheetId="4" r:id="rId1"/>
    <sheet name="Parameters" sheetId="1" r:id="rId2"/>
    <sheet name="Results" sheetId="5" r:id="rId3"/>
    <sheet name="Simulation" sheetId="2" r:id="rId4"/>
  </sheets>
  <definedNames>
    <definedName name="DurationOfIteration">Parameters!$B$6</definedName>
    <definedName name="Edition">Parameters!$H$4</definedName>
    <definedName name="EffortAutomatedTestCase">Parameters!$E$6</definedName>
    <definedName name="EffortManualTestCase">Parameters!$E$5</definedName>
    <definedName name="HardwareCostsWeekly">Parameters!$H$12</definedName>
    <definedName name="HardwareCostsYearly">Parameters!$H$11</definedName>
    <definedName name="Headcount">Parameters!$B$14</definedName>
    <definedName name="NumberExternalFte">Parameters!$B$12</definedName>
    <definedName name="NumberInternalFte">Parameters!$B$11</definedName>
    <definedName name="NumberOfIterations">Parameters!$B$5</definedName>
    <definedName name="NumberOfNewTestCasesPerIteration">Parameters!$E$4</definedName>
    <definedName name="NumberOfReleases">Parameters!$B$4</definedName>
    <definedName name="NumberOfTotalIterations">Parameters!$B$7</definedName>
    <definedName name="NumberTotalFte">Parameters!$B$13</definedName>
    <definedName name="ProjectDuration">Parameters!$B$8</definedName>
    <definedName name="RateAverage">Parameters!$B$19</definedName>
    <definedName name="RateExternalFte">Parameters!$B$18</definedName>
    <definedName name="RateInternalFte">Parameters!$B$17</definedName>
    <definedName name="SubscriptionPricePerUser">Parameters!$H$6</definedName>
    <definedName name="SubscriptionPricePerWeek">Parameters!$H$8</definedName>
    <definedName name="SubscriptionPricePerYear">Parameters!$H$7</definedName>
    <definedName name="TrainingEffortPerHeadAndWeek">Parameters!$H$16</definedName>
    <definedName name="TrainingEffortPerHeadAndYear">Parameters!$H$15</definedName>
    <definedName name="UsersCount">Parameters!$H$5</definedName>
    <definedName name="WorkdaysPerWeek">Parameters!$B$22</definedName>
    <definedName name="WorkingHoursPerFte">Parameters!$B$23</definedName>
    <definedName name="WorkingHoursPerIteration">Parameters!$B$24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2" i="1" l="1"/>
  <c r="AC26" i="2" s="1"/>
  <c r="H16" i="1"/>
  <c r="B24" i="1"/>
  <c r="A14" i="2"/>
  <c r="A15" i="2"/>
  <c r="A16" i="2"/>
  <c r="A17" i="2"/>
  <c r="A18" i="2"/>
  <c r="A19" i="2"/>
  <c r="A20" i="2"/>
  <c r="A21" i="2"/>
  <c r="A22" i="2"/>
  <c r="A23" i="2"/>
  <c r="A24" i="2"/>
  <c r="A25" i="2"/>
  <c r="A26" i="2"/>
  <c r="A27" i="2"/>
  <c r="A28" i="2"/>
  <c r="A29" i="2"/>
  <c r="A30" i="2"/>
  <c r="A31" i="2"/>
  <c r="A32" i="2"/>
  <c r="A33" i="2"/>
  <c r="A8" i="2"/>
  <c r="A9" i="2"/>
  <c r="A10" i="2"/>
  <c r="A11" i="2"/>
  <c r="A12" i="2"/>
  <c r="A13" i="2"/>
  <c r="A7" i="2"/>
  <c r="C7" i="2" s="1"/>
  <c r="D8" i="2"/>
  <c r="D9" i="2"/>
  <c r="D10" i="2"/>
  <c r="D11" i="2"/>
  <c r="D12" i="2"/>
  <c r="D13" i="2"/>
  <c r="D14" i="2"/>
  <c r="D15" i="2"/>
  <c r="D16" i="2"/>
  <c r="D17" i="2"/>
  <c r="D18" i="2"/>
  <c r="D19" i="2"/>
  <c r="D20" i="2"/>
  <c r="D21" i="2"/>
  <c r="D22" i="2"/>
  <c r="D23" i="2"/>
  <c r="D24" i="2"/>
  <c r="D25" i="2"/>
  <c r="D26" i="2"/>
  <c r="D27" i="2"/>
  <c r="D28" i="2"/>
  <c r="D29" i="2"/>
  <c r="D30" i="2"/>
  <c r="D31" i="2"/>
  <c r="D32" i="2"/>
  <c r="D33" i="2"/>
  <c r="D7" i="2"/>
  <c r="V4" i="2"/>
  <c r="B13" i="1"/>
  <c r="B14" i="1" s="1"/>
  <c r="H5" i="1" s="1"/>
  <c r="C23" i="2" l="1"/>
  <c r="C10" i="2"/>
  <c r="H7" i="1"/>
  <c r="AC23" i="2"/>
  <c r="AC22" i="2"/>
  <c r="AC21" i="2"/>
  <c r="AC24" i="2"/>
  <c r="AC20" i="2"/>
  <c r="AC19" i="2"/>
  <c r="AC18" i="2"/>
  <c r="AC17" i="2"/>
  <c r="AC25" i="2"/>
  <c r="C21" i="2"/>
  <c r="AC16" i="2"/>
  <c r="AC15" i="2"/>
  <c r="AC7" i="2"/>
  <c r="AC14" i="2"/>
  <c r="AC33" i="2"/>
  <c r="AC13" i="2"/>
  <c r="AC32" i="2"/>
  <c r="AC12" i="2"/>
  <c r="AC31" i="2"/>
  <c r="AC11" i="2"/>
  <c r="AC30" i="2"/>
  <c r="AC10" i="2"/>
  <c r="AC29" i="2"/>
  <c r="AC9" i="2"/>
  <c r="AC28" i="2"/>
  <c r="AC8" i="2"/>
  <c r="AC27" i="2"/>
  <c r="C9" i="2"/>
  <c r="C24" i="2"/>
  <c r="B19" i="1"/>
  <c r="AD32" i="2" s="1"/>
  <c r="C32" i="2"/>
  <c r="C26" i="2"/>
  <c r="C16" i="2"/>
  <c r="C33" i="2"/>
  <c r="C30" i="2"/>
  <c r="C25" i="2"/>
  <c r="C22" i="2"/>
  <c r="C13" i="2"/>
  <c r="C19" i="2"/>
  <c r="C12" i="2"/>
  <c r="C18" i="2"/>
  <c r="C17" i="2"/>
  <c r="C31" i="2"/>
  <c r="C27" i="2"/>
  <c r="C11" i="2"/>
  <c r="C15" i="2"/>
  <c r="C29" i="2"/>
  <c r="C8" i="2"/>
  <c r="C14" i="2"/>
  <c r="C28" i="2"/>
  <c r="C20" i="2"/>
  <c r="F8" i="2"/>
  <c r="F9" i="2"/>
  <c r="F10" i="2"/>
  <c r="F11" i="2"/>
  <c r="F12" i="2"/>
  <c r="F13" i="2"/>
  <c r="F14" i="2"/>
  <c r="F15" i="2"/>
  <c r="F16" i="2"/>
  <c r="F17" i="2"/>
  <c r="F18" i="2"/>
  <c r="F19" i="2"/>
  <c r="F20" i="2"/>
  <c r="F21" i="2"/>
  <c r="F22" i="2"/>
  <c r="F23" i="2"/>
  <c r="F24" i="2"/>
  <c r="F25" i="2"/>
  <c r="F26" i="2"/>
  <c r="F27" i="2"/>
  <c r="F28" i="2"/>
  <c r="F29" i="2"/>
  <c r="F30" i="2"/>
  <c r="F31" i="2"/>
  <c r="F32" i="2"/>
  <c r="F33" i="2"/>
  <c r="F7" i="2"/>
  <c r="E8" i="2"/>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B7" i="1"/>
  <c r="A13" i="5" l="1"/>
  <c r="AD12" i="2"/>
  <c r="AD33" i="2"/>
  <c r="AD14" i="2"/>
  <c r="B8" i="1"/>
  <c r="A3" i="5" s="1"/>
  <c r="AD26" i="2"/>
  <c r="AD8" i="2"/>
  <c r="AD9" i="2"/>
  <c r="AD30" i="2"/>
  <c r="AD31" i="2"/>
  <c r="AD7" i="2"/>
  <c r="AD11" i="2"/>
  <c r="AD10" i="2"/>
  <c r="AD17" i="2"/>
  <c r="AD23" i="2"/>
  <c r="AD20" i="2"/>
  <c r="AD22" i="2"/>
  <c r="AD19" i="2"/>
  <c r="AD24" i="2"/>
  <c r="AD18" i="2"/>
  <c r="AD21" i="2"/>
  <c r="AD13" i="2"/>
  <c r="AD15" i="2"/>
  <c r="AD16" i="2"/>
  <c r="AD27" i="2"/>
  <c r="AD28" i="2"/>
  <c r="AD29" i="2"/>
  <c r="H8" i="1"/>
  <c r="AD25" i="2"/>
  <c r="AC34" i="2"/>
  <c r="AE18" i="2"/>
  <c r="AE13" i="2"/>
  <c r="AE31" i="2"/>
  <c r="AE11" i="2"/>
  <c r="AE14" i="2"/>
  <c r="AE7" i="2"/>
  <c r="AG7" i="2" s="1"/>
  <c r="AE9" i="2"/>
  <c r="AE26" i="2"/>
  <c r="AE22" i="2"/>
  <c r="AE21" i="2"/>
  <c r="AG21" i="2" s="1"/>
  <c r="AE20" i="2"/>
  <c r="AG20" i="2" s="1"/>
  <c r="AE19" i="2"/>
  <c r="AG19" i="2" s="1"/>
  <c r="AE17" i="2"/>
  <c r="AG17" i="2" s="1"/>
  <c r="AE16" i="2"/>
  <c r="AG16" i="2" s="1"/>
  <c r="AE32" i="2"/>
  <c r="AG32" i="2" s="1"/>
  <c r="AE15" i="2"/>
  <c r="AG15" i="2" s="1"/>
  <c r="AE33" i="2"/>
  <c r="AG33" i="2" s="1"/>
  <c r="AE12" i="2"/>
  <c r="AG12" i="2" s="1"/>
  <c r="AE30" i="2"/>
  <c r="AG30" i="2" s="1"/>
  <c r="AE10" i="2"/>
  <c r="AG10" i="2" s="1"/>
  <c r="AE29" i="2"/>
  <c r="AG29" i="2" s="1"/>
  <c r="AE28" i="2"/>
  <c r="AG28" i="2" s="1"/>
  <c r="AE8" i="2"/>
  <c r="AG8" i="2" s="1"/>
  <c r="AE27" i="2"/>
  <c r="AG27" i="2" s="1"/>
  <c r="AE25" i="2"/>
  <c r="AG25" i="2" s="1"/>
  <c r="AE24" i="2"/>
  <c r="AG24" i="2" s="1"/>
  <c r="AE23" i="2"/>
  <c r="AG23" i="2" s="1"/>
  <c r="G7" i="2"/>
  <c r="F34" i="2"/>
  <c r="AB12" i="2" l="1"/>
  <c r="AB17" i="2"/>
  <c r="AB10" i="2"/>
  <c r="AB29" i="2"/>
  <c r="AB24" i="2"/>
  <c r="AB15" i="2"/>
  <c r="AB7" i="2"/>
  <c r="AB21" i="2"/>
  <c r="AB20" i="2"/>
  <c r="AB33" i="2"/>
  <c r="AB23" i="2"/>
  <c r="AB32" i="2"/>
  <c r="AB14" i="2"/>
  <c r="AB22" i="2"/>
  <c r="AB11" i="2"/>
  <c r="AB8" i="2"/>
  <c r="AB25" i="2"/>
  <c r="AB16" i="2"/>
  <c r="AB30" i="2"/>
  <c r="AB26" i="2"/>
  <c r="AB27" i="2"/>
  <c r="AB19" i="2"/>
  <c r="AB31" i="2"/>
  <c r="AB9" i="2"/>
  <c r="AB28" i="2"/>
  <c r="AB13" i="2"/>
  <c r="AB18" i="2"/>
  <c r="AD34" i="2"/>
  <c r="V11" i="2"/>
  <c r="W11" i="2" s="1"/>
  <c r="AG11" i="2"/>
  <c r="V31" i="2"/>
  <c r="W31" i="2" s="1"/>
  <c r="AG31" i="2"/>
  <c r="V26" i="2"/>
  <c r="W26" i="2" s="1"/>
  <c r="AG26" i="2"/>
  <c r="V9" i="2"/>
  <c r="W9" i="2" s="1"/>
  <c r="AG9" i="2"/>
  <c r="Y13" i="2"/>
  <c r="Z13" i="2" s="1"/>
  <c r="AG13" i="2"/>
  <c r="V22" i="2"/>
  <c r="W22" i="2" s="1"/>
  <c r="AG22" i="2"/>
  <c r="Y14" i="2"/>
  <c r="Z14" i="2" s="1"/>
  <c r="AG14" i="2"/>
  <c r="Y18" i="2"/>
  <c r="Z18" i="2" s="1"/>
  <c r="AG18" i="2"/>
  <c r="Y31" i="2"/>
  <c r="Z31" i="2" s="1"/>
  <c r="V13" i="2"/>
  <c r="W13" i="2" s="1"/>
  <c r="Y7" i="2"/>
  <c r="Z7" i="2" s="1"/>
  <c r="AA7" i="2" s="1"/>
  <c r="AF7" i="2"/>
  <c r="AF8" i="2" s="1"/>
  <c r="AF9" i="2" s="1"/>
  <c r="AF10" i="2" s="1"/>
  <c r="AF11" i="2" s="1"/>
  <c r="AF12" i="2" s="1"/>
  <c r="AF13" i="2" s="1"/>
  <c r="AF14" i="2" s="1"/>
  <c r="AF15" i="2" s="1"/>
  <c r="AF16" i="2" s="1"/>
  <c r="AF17" i="2" s="1"/>
  <c r="AF18" i="2" s="1"/>
  <c r="AF19" i="2" s="1"/>
  <c r="AF20" i="2" s="1"/>
  <c r="AF21" i="2" s="1"/>
  <c r="AF22" i="2" s="1"/>
  <c r="AF23" i="2" s="1"/>
  <c r="AF24" i="2" s="1"/>
  <c r="AF25" i="2" s="1"/>
  <c r="AF26" i="2" s="1"/>
  <c r="AF27" i="2" s="1"/>
  <c r="AF28" i="2" s="1"/>
  <c r="AF29" i="2" s="1"/>
  <c r="AF30" i="2" s="1"/>
  <c r="AF31" i="2" s="1"/>
  <c r="AF32" i="2" s="1"/>
  <c r="AF33" i="2" s="1"/>
  <c r="Y11" i="2"/>
  <c r="Z11" i="2" s="1"/>
  <c r="V14" i="2"/>
  <c r="W14" i="2" s="1"/>
  <c r="V18" i="2"/>
  <c r="W18" i="2" s="1"/>
  <c r="V7" i="2"/>
  <c r="W7" i="2" s="1"/>
  <c r="Y22" i="2"/>
  <c r="Z22" i="2" s="1"/>
  <c r="Y26" i="2"/>
  <c r="Z26" i="2" s="1"/>
  <c r="Y9" i="2"/>
  <c r="Z9" i="2" s="1"/>
  <c r="Y30" i="2"/>
  <c r="Z30" i="2" s="1"/>
  <c r="V30" i="2"/>
  <c r="W30" i="2" s="1"/>
  <c r="Y32" i="2"/>
  <c r="Z32" i="2" s="1"/>
  <c r="V32" i="2"/>
  <c r="W32" i="2" s="1"/>
  <c r="V23" i="2"/>
  <c r="W23" i="2" s="1"/>
  <c r="Y23" i="2"/>
  <c r="Z23" i="2" s="1"/>
  <c r="Y16" i="2"/>
  <c r="Z16" i="2" s="1"/>
  <c r="V16" i="2"/>
  <c r="W16" i="2" s="1"/>
  <c r="V24" i="2"/>
  <c r="W24" i="2" s="1"/>
  <c r="Y24" i="2"/>
  <c r="Z24" i="2" s="1"/>
  <c r="Y8" i="2"/>
  <c r="Z8" i="2" s="1"/>
  <c r="V8" i="2"/>
  <c r="W8" i="2" s="1"/>
  <c r="Y29" i="2"/>
  <c r="Z29" i="2" s="1"/>
  <c r="V29" i="2"/>
  <c r="W29" i="2" s="1"/>
  <c r="Y10" i="2"/>
  <c r="Z10" i="2" s="1"/>
  <c r="V10" i="2"/>
  <c r="W10" i="2" s="1"/>
  <c r="Y19" i="2"/>
  <c r="Z19" i="2" s="1"/>
  <c r="V19" i="2"/>
  <c r="W19" i="2" s="1"/>
  <c r="V27" i="2"/>
  <c r="W27" i="2" s="1"/>
  <c r="Y27" i="2"/>
  <c r="Z27" i="2" s="1"/>
  <c r="Y33" i="2"/>
  <c r="Z33" i="2" s="1"/>
  <c r="V33" i="2"/>
  <c r="W33" i="2" s="1"/>
  <c r="AH33" i="2" s="1"/>
  <c r="V21" i="2"/>
  <c r="W21" i="2" s="1"/>
  <c r="Y21" i="2"/>
  <c r="Z21" i="2" s="1"/>
  <c r="Y15" i="2"/>
  <c r="Z15" i="2" s="1"/>
  <c r="V15" i="2"/>
  <c r="W15" i="2" s="1"/>
  <c r="AE34" i="2"/>
  <c r="Y17" i="2"/>
  <c r="Z17" i="2" s="1"/>
  <c r="V17" i="2"/>
  <c r="W17" i="2" s="1"/>
  <c r="V25" i="2"/>
  <c r="W25" i="2" s="1"/>
  <c r="Y25" i="2"/>
  <c r="Z25" i="2" s="1"/>
  <c r="Y12" i="2"/>
  <c r="Z12" i="2" s="1"/>
  <c r="V12" i="2"/>
  <c r="W12" i="2" s="1"/>
  <c r="Y20" i="2"/>
  <c r="Z20" i="2" s="1"/>
  <c r="V20" i="2"/>
  <c r="W20" i="2" s="1"/>
  <c r="Y28" i="2"/>
  <c r="Z28" i="2" s="1"/>
  <c r="V28" i="2"/>
  <c r="W28" i="2" s="1"/>
  <c r="O7" i="2"/>
  <c r="G8" i="2"/>
  <c r="AH32" i="2" l="1"/>
  <c r="AH28" i="2"/>
  <c r="AH10" i="2"/>
  <c r="AH17" i="2"/>
  <c r="AH19" i="2"/>
  <c r="AB34" i="2"/>
  <c r="AH16" i="2"/>
  <c r="AH8" i="2"/>
  <c r="AH13" i="2"/>
  <c r="AH15" i="2"/>
  <c r="AH30" i="2"/>
  <c r="AH20" i="2"/>
  <c r="AH18" i="2"/>
  <c r="AH31" i="2"/>
  <c r="AH14" i="2"/>
  <c r="AH29" i="2"/>
  <c r="AH7" i="2"/>
  <c r="AH12" i="2"/>
  <c r="AH26" i="2"/>
  <c r="AH9" i="2"/>
  <c r="AH27" i="2"/>
  <c r="AH11" i="2"/>
  <c r="AH25" i="2"/>
  <c r="AH24" i="2"/>
  <c r="AH23" i="2"/>
  <c r="AH22" i="2"/>
  <c r="AH21" i="2"/>
  <c r="Q7" i="2"/>
  <c r="R7" i="2" s="1"/>
  <c r="L7" i="2"/>
  <c r="P7" i="2"/>
  <c r="I7" i="2"/>
  <c r="Y34" i="2"/>
  <c r="V34" i="2"/>
  <c r="AA8" i="2"/>
  <c r="AA9" i="2" s="1"/>
  <c r="AA10" i="2" s="1"/>
  <c r="AA11" i="2" s="1"/>
  <c r="AA12" i="2" s="1"/>
  <c r="AA13" i="2" s="1"/>
  <c r="AA14" i="2" s="1"/>
  <c r="AA15" i="2" s="1"/>
  <c r="AA16" i="2" s="1"/>
  <c r="AA17" i="2" s="1"/>
  <c r="AA18" i="2" s="1"/>
  <c r="AA19" i="2" s="1"/>
  <c r="AA20" i="2" s="1"/>
  <c r="AA21" i="2" s="1"/>
  <c r="AA22" i="2" s="1"/>
  <c r="AA23" i="2" s="1"/>
  <c r="AA24" i="2" s="1"/>
  <c r="AA25" i="2" s="1"/>
  <c r="AA26" i="2" s="1"/>
  <c r="AA27" i="2" s="1"/>
  <c r="AA28" i="2" s="1"/>
  <c r="AA29" i="2" s="1"/>
  <c r="AA30" i="2" s="1"/>
  <c r="AA31" i="2" s="1"/>
  <c r="AA32" i="2" s="1"/>
  <c r="AA33" i="2" s="1"/>
  <c r="Z34" i="2"/>
  <c r="O8" i="2"/>
  <c r="Q8" i="2" s="1"/>
  <c r="R8" i="2" s="1"/>
  <c r="X7" i="2"/>
  <c r="X8" i="2" s="1"/>
  <c r="W34" i="2"/>
  <c r="G9" i="2"/>
  <c r="AI7" i="2" l="1"/>
  <c r="AI8" i="2" s="1"/>
  <c r="B5" i="5"/>
  <c r="L8" i="2"/>
  <c r="M8" i="2" s="1"/>
  <c r="P8" i="2"/>
  <c r="J7" i="2"/>
  <c r="K7" i="2" s="1"/>
  <c r="I8" i="2"/>
  <c r="J8" i="2" s="1"/>
  <c r="M7" i="2"/>
  <c r="X9" i="2"/>
  <c r="X10" i="2" s="1"/>
  <c r="X11" i="2" s="1"/>
  <c r="X12" i="2" s="1"/>
  <c r="X13" i="2" s="1"/>
  <c r="X14" i="2" s="1"/>
  <c r="X15" i="2" s="1"/>
  <c r="X16" i="2" s="1"/>
  <c r="X17" i="2" s="1"/>
  <c r="X18" i="2" s="1"/>
  <c r="X19" i="2" s="1"/>
  <c r="X20" i="2" s="1"/>
  <c r="X21" i="2" s="1"/>
  <c r="X22" i="2" s="1"/>
  <c r="X23" i="2" s="1"/>
  <c r="X24" i="2" s="1"/>
  <c r="X25" i="2" s="1"/>
  <c r="X26" i="2" s="1"/>
  <c r="X27" i="2" s="1"/>
  <c r="X28" i="2" s="1"/>
  <c r="X29" i="2" s="1"/>
  <c r="X30" i="2" s="1"/>
  <c r="X31" i="2" s="1"/>
  <c r="X32" i="2" s="1"/>
  <c r="X33" i="2" s="1"/>
  <c r="AH34" i="2"/>
  <c r="O9" i="2"/>
  <c r="Q9" i="2" s="1"/>
  <c r="R9" i="2" s="1"/>
  <c r="G10" i="2"/>
  <c r="L9" i="2" l="1"/>
  <c r="M9" i="2" s="1"/>
  <c r="S8" i="2"/>
  <c r="P9" i="2"/>
  <c r="AI9" i="2"/>
  <c r="I9" i="2"/>
  <c r="J9" i="2" s="1"/>
  <c r="S7" i="2"/>
  <c r="N7" i="2"/>
  <c r="N8" i="2" s="1"/>
  <c r="K8" i="2"/>
  <c r="O10" i="2"/>
  <c r="Q10" i="2" s="1"/>
  <c r="R10" i="2" s="1"/>
  <c r="G11" i="2"/>
  <c r="T7" i="2" l="1"/>
  <c r="AK7" i="2" s="1"/>
  <c r="AL7" i="2" s="1"/>
  <c r="L10" i="2"/>
  <c r="M10" i="2" s="1"/>
  <c r="P10" i="2"/>
  <c r="N9" i="2"/>
  <c r="K9" i="2"/>
  <c r="S9" i="2"/>
  <c r="AI10" i="2"/>
  <c r="I10" i="2"/>
  <c r="O11" i="2"/>
  <c r="Q11" i="2" s="1"/>
  <c r="R11" i="2" s="1"/>
  <c r="G12" i="2"/>
  <c r="T8" i="2" l="1"/>
  <c r="AK8" i="2" s="1"/>
  <c r="AL8" i="2" s="1"/>
  <c r="L11" i="2"/>
  <c r="P11" i="2"/>
  <c r="N10" i="2"/>
  <c r="AI11" i="2"/>
  <c r="I11" i="2"/>
  <c r="J11" i="2" s="1"/>
  <c r="J10" i="2"/>
  <c r="O12" i="2"/>
  <c r="Q12" i="2" s="1"/>
  <c r="R12" i="2" s="1"/>
  <c r="G13" i="2"/>
  <c r="T9" i="2" l="1"/>
  <c r="AK9" i="2" s="1"/>
  <c r="AL9" i="2" s="1"/>
  <c r="L12" i="2"/>
  <c r="M12" i="2" s="1"/>
  <c r="P12" i="2"/>
  <c r="AI12" i="2"/>
  <c r="I12" i="2"/>
  <c r="K10" i="2"/>
  <c r="K11" i="2" s="1"/>
  <c r="S10" i="2"/>
  <c r="M11" i="2"/>
  <c r="O13" i="2"/>
  <c r="Q13" i="2" s="1"/>
  <c r="R13" i="2" s="1"/>
  <c r="G14" i="2"/>
  <c r="T10" i="2" l="1"/>
  <c r="AK10" i="2" s="1"/>
  <c r="AL10" i="2" s="1"/>
  <c r="L13" i="2"/>
  <c r="P13" i="2"/>
  <c r="AI13" i="2"/>
  <c r="I13" i="2"/>
  <c r="J13" i="2" s="1"/>
  <c r="S11" i="2"/>
  <c r="N11" i="2"/>
  <c r="N12" i="2" s="1"/>
  <c r="J12" i="2"/>
  <c r="S12" i="2" s="1"/>
  <c r="O14" i="2"/>
  <c r="Q14" i="2" s="1"/>
  <c r="R14" i="2" s="1"/>
  <c r="G15" i="2"/>
  <c r="T11" i="2" l="1"/>
  <c r="AK11" i="2" s="1"/>
  <c r="AL11" i="2" s="1"/>
  <c r="L14" i="2"/>
  <c r="M14" i="2" s="1"/>
  <c r="P14" i="2"/>
  <c r="AI14" i="2"/>
  <c r="I14" i="2"/>
  <c r="K12" i="2"/>
  <c r="K13" i="2" s="1"/>
  <c r="M13" i="2"/>
  <c r="O15" i="2"/>
  <c r="Q15" i="2" s="1"/>
  <c r="R15" i="2" s="1"/>
  <c r="G16" i="2"/>
  <c r="T12" i="2" l="1"/>
  <c r="AK12" i="2" s="1"/>
  <c r="AL12" i="2" s="1"/>
  <c r="L15" i="2"/>
  <c r="M15" i="2" s="1"/>
  <c r="P15" i="2"/>
  <c r="AI15" i="2"/>
  <c r="I15" i="2"/>
  <c r="J15" i="2" s="1"/>
  <c r="S13" i="2"/>
  <c r="N13" i="2"/>
  <c r="N14" i="2" s="1"/>
  <c r="J14" i="2"/>
  <c r="S14" i="2" s="1"/>
  <c r="O16" i="2"/>
  <c r="Q16" i="2" s="1"/>
  <c r="R16" i="2" s="1"/>
  <c r="G17" i="2"/>
  <c r="T13" i="2" l="1"/>
  <c r="AK13" i="2" s="1"/>
  <c r="AL13" i="2" s="1"/>
  <c r="N15" i="2"/>
  <c r="L16" i="2"/>
  <c r="M16" i="2" s="1"/>
  <c r="N16" i="2" s="1"/>
  <c r="S15" i="2"/>
  <c r="P16" i="2"/>
  <c r="AI16" i="2"/>
  <c r="I16" i="2"/>
  <c r="J16" i="2" s="1"/>
  <c r="K14" i="2"/>
  <c r="K15" i="2" s="1"/>
  <c r="O17" i="2"/>
  <c r="Q17" i="2" s="1"/>
  <c r="R17" i="2" s="1"/>
  <c r="G18" i="2"/>
  <c r="T14" i="2" l="1"/>
  <c r="AK14" i="2" s="1"/>
  <c r="AL14" i="2" s="1"/>
  <c r="K16" i="2"/>
  <c r="L17" i="2"/>
  <c r="M17" i="2" s="1"/>
  <c r="P17" i="2"/>
  <c r="S16" i="2"/>
  <c r="AI17" i="2"/>
  <c r="I17" i="2"/>
  <c r="J17" i="2" s="1"/>
  <c r="O18" i="2"/>
  <c r="Q18" i="2" s="1"/>
  <c r="R18" i="2" s="1"/>
  <c r="G19" i="2"/>
  <c r="T15" i="2" l="1"/>
  <c r="AK15" i="2" s="1"/>
  <c r="AL15" i="2" s="1"/>
  <c r="K17" i="2"/>
  <c r="L18" i="2"/>
  <c r="M18" i="2" s="1"/>
  <c r="P18" i="2"/>
  <c r="S17" i="2"/>
  <c r="N17" i="2"/>
  <c r="AI18" i="2"/>
  <c r="I18" i="2"/>
  <c r="J18" i="2" s="1"/>
  <c r="O19" i="2"/>
  <c r="Q19" i="2" s="1"/>
  <c r="R19" i="2" s="1"/>
  <c r="G20" i="2"/>
  <c r="T16" i="2" l="1"/>
  <c r="AK16" i="2" s="1"/>
  <c r="AL16" i="2" s="1"/>
  <c r="K18" i="2"/>
  <c r="L19" i="2"/>
  <c r="M19" i="2" s="1"/>
  <c r="P19" i="2"/>
  <c r="S18" i="2"/>
  <c r="N18" i="2"/>
  <c r="AI19" i="2"/>
  <c r="I19" i="2"/>
  <c r="J19" i="2" s="1"/>
  <c r="O20" i="2"/>
  <c r="Q20" i="2" s="1"/>
  <c r="R20" i="2" s="1"/>
  <c r="G21" i="2"/>
  <c r="K19" i="2" l="1"/>
  <c r="T17" i="2"/>
  <c r="AK17" i="2" s="1"/>
  <c r="AL17" i="2" s="1"/>
  <c r="N19" i="2"/>
  <c r="L20" i="2"/>
  <c r="M20" i="2" s="1"/>
  <c r="P20" i="2"/>
  <c r="AI20" i="2"/>
  <c r="S19" i="2"/>
  <c r="I20" i="2"/>
  <c r="J20" i="2" s="1"/>
  <c r="O21" i="2"/>
  <c r="Q21" i="2" s="1"/>
  <c r="R21" i="2" s="1"/>
  <c r="G22" i="2"/>
  <c r="K20" i="2" l="1"/>
  <c r="T18" i="2"/>
  <c r="AK18" i="2" s="1"/>
  <c r="AL18" i="2" s="1"/>
  <c r="N20" i="2"/>
  <c r="L21" i="2"/>
  <c r="M21" i="2" s="1"/>
  <c r="P21" i="2"/>
  <c r="T19" i="2"/>
  <c r="AK19" i="2" s="1"/>
  <c r="AI21" i="2"/>
  <c r="S20" i="2"/>
  <c r="I21" i="2"/>
  <c r="J21" i="2" s="1"/>
  <c r="O22" i="2"/>
  <c r="Q22" i="2" s="1"/>
  <c r="R22" i="2" s="1"/>
  <c r="G23" i="2"/>
  <c r="AL19" i="2" l="1"/>
  <c r="K21" i="2"/>
  <c r="N21" i="2"/>
  <c r="T20" i="2"/>
  <c r="AK20" i="2" s="1"/>
  <c r="AL20" i="2" s="1"/>
  <c r="L22" i="2"/>
  <c r="M22" i="2" s="1"/>
  <c r="P22" i="2"/>
  <c r="S21" i="2"/>
  <c r="AI22" i="2"/>
  <c r="I22" i="2"/>
  <c r="J22" i="2" s="1"/>
  <c r="K22" i="2" s="1"/>
  <c r="O23" i="2"/>
  <c r="Q23" i="2" s="1"/>
  <c r="R23" i="2" s="1"/>
  <c r="G24" i="2"/>
  <c r="N22" i="2" l="1"/>
  <c r="T21" i="2"/>
  <c r="AK21" i="2" s="1"/>
  <c r="AL21" i="2" s="1"/>
  <c r="L23" i="2"/>
  <c r="M23" i="2" s="1"/>
  <c r="P23" i="2"/>
  <c r="AI23" i="2"/>
  <c r="S22" i="2"/>
  <c r="I23" i="2"/>
  <c r="J23" i="2" s="1"/>
  <c r="K23" i="2" s="1"/>
  <c r="O24" i="2"/>
  <c r="Q24" i="2" s="1"/>
  <c r="R24" i="2" s="1"/>
  <c r="G25" i="2"/>
  <c r="N23" i="2" l="1"/>
  <c r="T22" i="2"/>
  <c r="AK22" i="2" s="1"/>
  <c r="AL22" i="2" s="1"/>
  <c r="L24" i="2"/>
  <c r="M24" i="2" s="1"/>
  <c r="P24" i="2"/>
  <c r="S23" i="2"/>
  <c r="AI24" i="2"/>
  <c r="I24" i="2"/>
  <c r="J24" i="2" s="1"/>
  <c r="K24" i="2" s="1"/>
  <c r="O25" i="2"/>
  <c r="Q25" i="2" s="1"/>
  <c r="R25" i="2" s="1"/>
  <c r="G26" i="2"/>
  <c r="N24" i="2" l="1"/>
  <c r="T23" i="2"/>
  <c r="AK23" i="2" s="1"/>
  <c r="AL23" i="2" s="1"/>
  <c r="L25" i="2"/>
  <c r="M25" i="2" s="1"/>
  <c r="P25" i="2"/>
  <c r="S24" i="2"/>
  <c r="T24" i="2" s="1"/>
  <c r="AK24" i="2" s="1"/>
  <c r="AL24" i="2" s="1"/>
  <c r="AI25" i="2"/>
  <c r="I25" i="2"/>
  <c r="J25" i="2" s="1"/>
  <c r="K25" i="2" s="1"/>
  <c r="O26" i="2"/>
  <c r="Q26" i="2" s="1"/>
  <c r="R26" i="2" s="1"/>
  <c r="G27" i="2"/>
  <c r="N25" i="2" l="1"/>
  <c r="L26" i="2"/>
  <c r="M26" i="2" s="1"/>
  <c r="N26" i="2" s="1"/>
  <c r="P26" i="2"/>
  <c r="S25" i="2"/>
  <c r="T25" i="2" s="1"/>
  <c r="AK25" i="2" s="1"/>
  <c r="AL25" i="2" s="1"/>
  <c r="AI26" i="2"/>
  <c r="I26" i="2"/>
  <c r="J26" i="2" s="1"/>
  <c r="K26" i="2" s="1"/>
  <c r="O27" i="2"/>
  <c r="Q27" i="2" s="1"/>
  <c r="R27" i="2" s="1"/>
  <c r="G28" i="2"/>
  <c r="L27" i="2" l="1"/>
  <c r="M27" i="2" s="1"/>
  <c r="N27" i="2" s="1"/>
  <c r="P27" i="2"/>
  <c r="S26" i="2"/>
  <c r="T26" i="2" s="1"/>
  <c r="AK26" i="2" s="1"/>
  <c r="AL26" i="2" s="1"/>
  <c r="AI27" i="2"/>
  <c r="I27" i="2"/>
  <c r="J27" i="2" s="1"/>
  <c r="K27" i="2" s="1"/>
  <c r="O28" i="2"/>
  <c r="Q28" i="2" s="1"/>
  <c r="R28" i="2" s="1"/>
  <c r="G29" i="2"/>
  <c r="L28" i="2" l="1"/>
  <c r="M28" i="2" s="1"/>
  <c r="N28" i="2" s="1"/>
  <c r="P28" i="2"/>
  <c r="S27" i="2"/>
  <c r="T27" i="2" s="1"/>
  <c r="AK27" i="2" s="1"/>
  <c r="AL27" i="2" s="1"/>
  <c r="AI28" i="2"/>
  <c r="I28" i="2"/>
  <c r="J28" i="2" s="1"/>
  <c r="K28" i="2" s="1"/>
  <c r="O29" i="2"/>
  <c r="Q29" i="2" s="1"/>
  <c r="R29" i="2" s="1"/>
  <c r="G30" i="2"/>
  <c r="L29" i="2" l="1"/>
  <c r="M29" i="2" s="1"/>
  <c r="N29" i="2" s="1"/>
  <c r="P29" i="2"/>
  <c r="S28" i="2"/>
  <c r="T28" i="2" s="1"/>
  <c r="AK28" i="2" s="1"/>
  <c r="AL28" i="2" s="1"/>
  <c r="AI29" i="2"/>
  <c r="I29" i="2"/>
  <c r="J29" i="2" s="1"/>
  <c r="K29" i="2" s="1"/>
  <c r="O30" i="2"/>
  <c r="Q30" i="2" s="1"/>
  <c r="R30" i="2" s="1"/>
  <c r="G31" i="2"/>
  <c r="L30" i="2" l="1"/>
  <c r="M30" i="2" s="1"/>
  <c r="N30" i="2" s="1"/>
  <c r="P30" i="2"/>
  <c r="S29" i="2"/>
  <c r="T29" i="2" s="1"/>
  <c r="AK29" i="2" s="1"/>
  <c r="AL29" i="2" s="1"/>
  <c r="AI30" i="2"/>
  <c r="I30" i="2"/>
  <c r="J30" i="2" s="1"/>
  <c r="K30" i="2" s="1"/>
  <c r="O31" i="2"/>
  <c r="Q31" i="2" s="1"/>
  <c r="R31" i="2" s="1"/>
  <c r="G32" i="2"/>
  <c r="L31" i="2" l="1"/>
  <c r="M31" i="2" s="1"/>
  <c r="N31" i="2" s="1"/>
  <c r="P31" i="2"/>
  <c r="S30" i="2"/>
  <c r="T30" i="2" s="1"/>
  <c r="AK30" i="2" s="1"/>
  <c r="AL30" i="2" s="1"/>
  <c r="AI31" i="2"/>
  <c r="I31" i="2"/>
  <c r="J31" i="2" s="1"/>
  <c r="K31" i="2" s="1"/>
  <c r="O32" i="2"/>
  <c r="Q32" i="2" s="1"/>
  <c r="R32" i="2" s="1"/>
  <c r="G33" i="2"/>
  <c r="L32" i="2" l="1"/>
  <c r="M32" i="2" s="1"/>
  <c r="N32" i="2" s="1"/>
  <c r="P32" i="2"/>
  <c r="S31" i="2"/>
  <c r="T31" i="2" s="1"/>
  <c r="AK31" i="2" s="1"/>
  <c r="AL31" i="2" s="1"/>
  <c r="AI32" i="2"/>
  <c r="I32" i="2"/>
  <c r="J32" i="2" s="1"/>
  <c r="K32" i="2" s="1"/>
  <c r="O33" i="2"/>
  <c r="G34" i="2"/>
  <c r="Q33" i="2" l="1"/>
  <c r="R33" i="2" s="1"/>
  <c r="A17" i="5" s="1"/>
  <c r="L33" i="2"/>
  <c r="O34" i="2"/>
  <c r="P33" i="2"/>
  <c r="S32" i="2"/>
  <c r="T32" i="2" s="1"/>
  <c r="AK32" i="2" s="1"/>
  <c r="AL32" i="2" s="1"/>
  <c r="AI33" i="2"/>
  <c r="I33" i="2"/>
  <c r="M33" i="2" l="1"/>
  <c r="L34" i="2"/>
  <c r="J33" i="2"/>
  <c r="I34" i="2"/>
  <c r="J34" i="2" l="1"/>
  <c r="K33" i="2"/>
  <c r="M34" i="2"/>
  <c r="N33" i="2"/>
  <c r="S33" i="2"/>
  <c r="B4" i="5" l="1"/>
  <c r="B6" i="5" s="1"/>
  <c r="B7" i="5" s="1"/>
  <c r="S34" i="2"/>
  <c r="T33" i="2"/>
  <c r="AK33" i="2" s="1"/>
  <c r="AL33" i="2" l="1"/>
  <c r="A15" i="5" s="1"/>
</calcChain>
</file>

<file path=xl/sharedStrings.xml><?xml version="1.0" encoding="utf-8"?>
<sst xmlns="http://schemas.openxmlformats.org/spreadsheetml/2006/main" count="106" uniqueCount="90">
  <si>
    <t>Release</t>
  </si>
  <si>
    <t>Iteration</t>
  </si>
  <si>
    <t xml:space="preserve">  </t>
  </si>
  <si>
    <t>Project</t>
  </si>
  <si>
    <t>Number of Releases:</t>
  </si>
  <si>
    <t>Number of Iterations per Release:</t>
  </si>
  <si>
    <t>Total Iterations:</t>
  </si>
  <si>
    <t>Iteration duration (weeks):</t>
  </si>
  <si>
    <t>Manual Testing</t>
  </si>
  <si>
    <t>Project-
week</t>
  </si>
  <si>
    <t>New
Test Cases</t>
  </si>
  <si>
    <t>Total
Test Cases</t>
  </si>
  <si>
    <t>Total Project</t>
  </si>
  <si>
    <t>Testing</t>
  </si>
  <si>
    <t>Avg. Effort for building an automated test case (minutes):</t>
  </si>
  <si>
    <t>Avg. Effort for manually running a test case (minutes):</t>
  </si>
  <si>
    <t>Project duration (weeks):</t>
  </si>
  <si>
    <t>Test Parameters</t>
  </si>
  <si>
    <t>Project Parameters</t>
  </si>
  <si>
    <t>BiG EVAL Subscription</t>
  </si>
  <si>
    <t>USD</t>
  </si>
  <si>
    <t>This ROI Calculator is for informational purposes only and should not be used to make any financial decisions. All calculations are based on assumptions and estimations and are subject to errors. Each project is individually and may vary slightly or completely from the numbers used and calculated here. BiG EVAL (Bolt Technology Consulting GmbH) does not make any guarantees as to the accuracy of these calculations or their suitability for any particular purpose. BiG EVAL (Bolt Technology Consulting GmbH) shall not be held liable for any errors or omissions in the calculations. All calculations should be verified with other sources or professional advice before being relied upon.</t>
  </si>
  <si>
    <t>Avg. New Test Cases per Iteration:</t>
  </si>
  <si>
    <t>The subscription prices shown are the list prices on the date when this ROI calculator was created. They may vary and are subject to change. Only prices from an official quote or the online shopping cart are binding.</t>
  </si>
  <si>
    <t>All prices or rates are in US Dollar.</t>
  </si>
  <si>
    <t>Please read the following disclaimer and instructions carefully to be able to use this calculation sheet correctly.</t>
  </si>
  <si>
    <t>SCALE</t>
  </si>
  <si>
    <t>by EXTERNAL Team Members</t>
  </si>
  <si>
    <t>by INTERNAL Team Members</t>
  </si>
  <si>
    <t>Comparison</t>
  </si>
  <si>
    <t>Effort
[h]</t>
  </si>
  <si>
    <t>Costs
[USD]</t>
  </si>
  <si>
    <t>TOTAL by ALL Team Members</t>
  </si>
  <si>
    <r>
      <t xml:space="preserve">Costs [USD]
</t>
    </r>
    <r>
      <rPr>
        <b/>
        <sz val="8"/>
        <color theme="0"/>
        <rFont val="Calibri"/>
        <family val="2"/>
        <scheme val="minor"/>
      </rPr>
      <t>Internal Hours * Rate</t>
    </r>
  </si>
  <si>
    <r>
      <t xml:space="preserve">Costs [USD]
</t>
    </r>
    <r>
      <rPr>
        <b/>
        <sz val="8"/>
        <color theme="0"/>
        <rFont val="Calibri"/>
        <family val="2"/>
        <scheme val="minor"/>
      </rPr>
      <t>External Hours * Rate</t>
    </r>
  </si>
  <si>
    <t>Running Total
Costs [USD]</t>
  </si>
  <si>
    <t>Costs [USD]
incl. Software</t>
  </si>
  <si>
    <t>Running Total
Costs [USD]
incl. Software</t>
  </si>
  <si>
    <r>
      <t xml:space="preserve">Savings
</t>
    </r>
    <r>
      <rPr>
        <b/>
        <sz val="9"/>
        <color theme="0"/>
        <rFont val="Calibri"/>
        <family val="2"/>
        <scheme val="minor"/>
      </rPr>
      <t>with Automated Testing</t>
    </r>
    <r>
      <rPr>
        <b/>
        <sz val="11"/>
        <color theme="0"/>
        <rFont val="Calibri"/>
        <family val="2"/>
        <scheme val="minor"/>
      </rPr>
      <t xml:space="preserve">
[USD]</t>
    </r>
  </si>
  <si>
    <t>This Excel file consists of multiple worksheets (registers). Start on the Parameters worksheet to set up your project, team and license. Then go over to the Simulation worksheet to see a comparison over time between manual and automated testing.</t>
  </si>
  <si>
    <t>Conclusion</t>
  </si>
  <si>
    <t>Iteration No.</t>
  </si>
  <si>
    <t>Release No.</t>
  </si>
  <si>
    <t>Running Total
Effort [h]</t>
  </si>
  <si>
    <t>Worktime</t>
  </si>
  <si>
    <t>Worktime consumed by testing</t>
  </si>
  <si>
    <r>
      <t xml:space="preserve">Worktime consumed by testing
</t>
    </r>
    <r>
      <rPr>
        <b/>
        <sz val="8"/>
        <color theme="0"/>
        <rFont val="Calibri"/>
        <family val="2"/>
        <scheme val="minor"/>
      </rPr>
      <t>&gt;=100% means that testing consumes all available project time</t>
    </r>
  </si>
  <si>
    <t>This means that testing is consuming all available project time without leaving any room for other tasks like developing.</t>
  </si>
  <si>
    <t>Training</t>
  </si>
  <si>
    <t>Software Subscription</t>
  </si>
  <si>
    <t>Hardware (or VM rental)</t>
  </si>
  <si>
    <t>Software Costs of Ownership</t>
  </si>
  <si>
    <t>Hardware costs
[USD]</t>
  </si>
  <si>
    <r>
      <t xml:space="preserve">Subscription Costs [USD]
</t>
    </r>
    <r>
      <rPr>
        <b/>
        <sz val="8"/>
        <color theme="0"/>
        <rFont val="Calibri"/>
        <family val="2"/>
        <scheme val="minor"/>
      </rPr>
      <t>Weekly price * Iteration duration</t>
    </r>
  </si>
  <si>
    <r>
      <t xml:space="preserve">Training Costs [USD]
</t>
    </r>
    <r>
      <rPr>
        <b/>
        <sz val="8"/>
        <color theme="0"/>
        <rFont val="Calibri"/>
        <family val="2"/>
        <scheme val="minor"/>
      </rPr>
      <t>Training time * Avg. Rate</t>
    </r>
  </si>
  <si>
    <t>break even with automated testing</t>
  </si>
  <si>
    <t>Number of Internal FTE in project:</t>
  </si>
  <si>
    <t>Number of External FTE in project:</t>
  </si>
  <si>
    <t>Total FTE in project:</t>
  </si>
  <si>
    <t>BiG EVAL Edition:</t>
  </si>
  <si>
    <t>Users count:</t>
  </si>
  <si>
    <t>Workdays per week (days):</t>
  </si>
  <si>
    <t>Working hours per FTE per day (hours):</t>
  </si>
  <si>
    <t>Available working hours per iteration (hours):</t>
  </si>
  <si>
    <t>Headcount in project:</t>
  </si>
  <si>
    <r>
      <t xml:space="preserve">There are </t>
    </r>
    <r>
      <rPr>
        <sz val="11"/>
        <color rgb="FFFFFF00"/>
        <rFont val="Calibri"/>
        <family val="2"/>
        <scheme val="minor"/>
      </rPr>
      <t>yellow</t>
    </r>
    <r>
      <rPr>
        <sz val="11"/>
        <color theme="1"/>
        <rFont val="Calibri"/>
        <family val="2"/>
        <scheme val="minor"/>
      </rPr>
      <t xml:space="preserve"> cells on the Parameters worksheet. The values of these cells can be modified and will be used in the ROI calculation.
Pleae don't change the values or formulas in gray cells because they are calculated.</t>
    </r>
  </si>
  <si>
    <t>Team</t>
  </si>
  <si>
    <t>Rates</t>
  </si>
  <si>
    <t>Avg. Training effort per team member and week (hours):</t>
  </si>
  <si>
    <t>Training effort per team member and year (hours):</t>
  </si>
  <si>
    <t>Data Testing ROI Calculator</t>
  </si>
  <si>
    <t>DISCLAIMER</t>
  </si>
  <si>
    <t>INSTRUCTIONS</t>
  </si>
  <si>
    <t>Return on Investment (ROI):</t>
  </si>
  <si>
    <t>Results</t>
  </si>
  <si>
    <t>Manual Testing costs sum up iteration by iteration, whereas costs for automated testing are nearly constant.</t>
  </si>
  <si>
    <t>Total Costs Manual Testing [USD]:</t>
  </si>
  <si>
    <t>Total Costs Automated Testing [USD]:</t>
  </si>
  <si>
    <t>Savings with Automated Testing [USD]:</t>
  </si>
  <si>
    <t>Subscription price per user and year [USD]:</t>
  </si>
  <si>
    <t>Subscription price TOTAL per year [USD]:</t>
  </si>
  <si>
    <t>Avg. Subscription price per week [USD]:</t>
  </si>
  <si>
    <t>Hardware costs per year (or rental fees) [USD]:</t>
  </si>
  <si>
    <t>Avg. Hardware costs per week [USD]:</t>
  </si>
  <si>
    <t>Hourly Rate Internal FTE [USD]:</t>
  </si>
  <si>
    <t>Hourly Rate External FTE [USD]:</t>
  </si>
  <si>
    <t>Avg. Weighted Rate [USD]:</t>
  </si>
  <si>
    <t>Simulation</t>
  </si>
  <si>
    <t>The following table simulates efforts and costs of manual and automated testing over the course of 27 iterations. At the end of the table is a short comparison which shows savings and the point of breakeven when investing in a test automation solution.</t>
  </si>
  <si>
    <t>Welcome to this excel sheet that calculates the ROI and several other parameters of test automation in a data-oriented project.
Please consider that a ROI calculation only respects financial parameters. Test automation comes with much more than this: quality assurance, less testing time for developers, less firefighting drills and a good gut feeling.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</si>
</sst>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b/>
      <sz val="16"/>
      <color theme="0"/>
      <name val="Calibri"/>
      <family val="2"/>
      <scheme val="minor"/>
    </font>
    <font>
      <b/>
      <sz val="18"/>
      <color theme="1"/>
      <name val="Roboto"/>
    </font>
    <font>
      <sz val="11"/>
      <color theme="1"/>
      <name val="Roboto"/>
    </font>
    <font>
      <b/>
      <sz val="14"/>
      <color theme="0"/>
      <name val="Roboto"/>
    </font>
    <font>
      <b/>
      <sz val="11"/>
      <color theme="1"/>
      <name val="Roboto"/>
    </font>
    <font>
      <sz val="11"/>
      <color theme="0"/>
      <name val="Roboto"/>
    </font>
    <font>
      <sz val="11"/>
      <color rgb="FFFFFF00"/>
      <name val="Calibri"/>
      <family val="2"/>
      <scheme val="minor"/>
    </font>
    <font>
      <b/>
      <sz val="18"/>
      <color theme="1"/>
      <name val="Calibri"/>
      <family val="2"/>
      <scheme val="minor"/>
    </font>
    <font>
      <b/>
      <sz val="8"/>
      <color theme="0"/>
      <name val="Calibri"/>
      <family val="2"/>
      <scheme val="minor"/>
    </font>
    <font>
      <b/>
      <sz val="9"/>
      <color theme="0"/>
      <name val="Calibri"/>
      <family val="2"/>
      <scheme val="minor"/>
    </font>
    <font>
      <b/>
      <u/>
      <sz val="11"/>
      <color theme="1"/>
      <name val="Calibri"/>
      <family val="2"/>
      <scheme val="minor"/>
    </font>
    <font>
      <sz val="9"/>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rgb="FF16252D"/>
        <bgColor indexed="64"/>
      </patternFill>
    </fill>
    <fill>
      <patternFill patternType="solid">
        <fgColor rgb="FFFFFF0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theme="0"/>
      </left>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43" fontId="1" fillId="0" borderId="0"/>
    <xf numFmtId="9" fontId="1" fillId="0" borderId="0" applyFont="0" applyFill="0" applyBorder="0" applyAlignment="0" applyProtection="0"/>
  </cellStyleXfs>
  <cellXfs count="91">
    <xf numFmtId="0" fontId="0" fillId="0" borderId="0" xfId="0"/>
    <xf numFmtId="0" fontId="3" fillId="0" borderId="0" xfId="0" applyFont="1"/>
    <xf numFmtId="3" fontId="0" fillId="0" borderId="0" xfId="0" applyNumberFormat="1" applyAlignment="1">
      <alignment horizontal="center"/>
    </xf>
    <xf numFmtId="0" fontId="5" fillId="2" borderId="0" xfId="0" applyFont="1" applyFill="1" applyAlignment="1">
      <alignment horizontal="center" vertical="center"/>
    </xf>
    <xf numFmtId="3" fontId="5" fillId="2" borderId="0" xfId="0" applyNumberFormat="1" applyFont="1" applyFill="1" applyAlignment="1">
      <alignment horizontal="center"/>
    </xf>
    <xf numFmtId="3" fontId="5" fillId="2" borderId="0" xfId="1" applyNumberFormat="1" applyFont="1" applyFill="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3" fontId="0" fillId="0" borderId="1" xfId="0" applyNumberFormat="1" applyBorder="1" applyAlignment="1">
      <alignment horizontal="center"/>
    </xf>
    <xf numFmtId="3" fontId="0" fillId="0" borderId="1" xfId="1" applyNumberFormat="1" applyFont="1" applyBorder="1" applyAlignment="1">
      <alignment horizontal="center"/>
    </xf>
    <xf numFmtId="3" fontId="6" fillId="2" borderId="4" xfId="1" applyNumberFormat="1" applyFont="1" applyFill="1" applyBorder="1" applyAlignment="1">
      <alignment horizontal="center" vertical="center" wrapText="1"/>
    </xf>
    <xf numFmtId="3" fontId="6" fillId="2" borderId="5" xfId="1"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0" fontId="0" fillId="0" borderId="7" xfId="0" applyBorder="1" applyAlignment="1">
      <alignment horizontal="center" vertical="center"/>
    </xf>
    <xf numFmtId="3" fontId="0" fillId="0" borderId="7" xfId="0" applyNumberFormat="1" applyBorder="1" applyAlignment="1">
      <alignment horizontal="center"/>
    </xf>
    <xf numFmtId="164" fontId="2" fillId="2" borderId="5" xfId="1" applyNumberFormat="1" applyFont="1" applyFill="1" applyBorder="1" applyAlignment="1">
      <alignment horizontal="center" vertical="center" wrapText="1"/>
    </xf>
    <xf numFmtId="3" fontId="2" fillId="2" borderId="5" xfId="1" applyNumberFormat="1" applyFont="1" applyFill="1" applyBorder="1" applyAlignment="1">
      <alignment horizontal="center" vertical="center" wrapText="1"/>
    </xf>
    <xf numFmtId="3" fontId="2" fillId="2" borderId="8" xfId="1"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left" wrapText="1" indent="1"/>
    </xf>
    <xf numFmtId="0" fontId="8" fillId="0" borderId="1" xfId="0" applyFont="1" applyBorder="1" applyAlignment="1">
      <alignment vertical="center" wrapText="1"/>
    </xf>
    <xf numFmtId="0" fontId="13" fillId="0" borderId="0" xfId="0" applyFont="1" applyAlignment="1">
      <alignment wrapText="1"/>
    </xf>
    <xf numFmtId="3" fontId="2" fillId="2" borderId="9" xfId="1" applyNumberFormat="1" applyFont="1" applyFill="1" applyBorder="1" applyAlignment="1">
      <alignment horizontal="center" vertical="center" wrapText="1"/>
    </xf>
    <xf numFmtId="4" fontId="0" fillId="0" borderId="1" xfId="1" applyNumberFormat="1" applyFont="1" applyBorder="1" applyAlignment="1">
      <alignment horizontal="center"/>
    </xf>
    <xf numFmtId="3" fontId="2" fillId="2" borderId="11" xfId="1" applyNumberFormat="1" applyFont="1" applyFill="1" applyBorder="1" applyAlignment="1">
      <alignment horizontal="center" vertical="center" wrapText="1"/>
    </xf>
    <xf numFmtId="0" fontId="7" fillId="0" borderId="0" xfId="0" applyFont="1" applyAlignment="1">
      <alignment vertical="center"/>
    </xf>
    <xf numFmtId="3" fontId="2" fillId="2" borderId="16" xfId="1" applyNumberFormat="1" applyFont="1" applyFill="1" applyBorder="1" applyAlignment="1">
      <alignment horizontal="center" vertical="center" wrapText="1"/>
    </xf>
    <xf numFmtId="3" fontId="2" fillId="2" borderId="14" xfId="1" applyNumberFormat="1" applyFont="1" applyFill="1" applyBorder="1" applyAlignment="1">
      <alignment horizontal="center" vertical="center" wrapText="1"/>
    </xf>
    <xf numFmtId="4" fontId="0" fillId="0" borderId="7" xfId="1" applyNumberFormat="1" applyFont="1" applyBorder="1" applyAlignment="1">
      <alignment horizontal="center"/>
    </xf>
    <xf numFmtId="3" fontId="0" fillId="0" borderId="7" xfId="1" applyNumberFormat="1" applyFont="1" applyBorder="1" applyAlignment="1">
      <alignment horizontal="center"/>
    </xf>
    <xf numFmtId="3" fontId="0" fillId="0" borderId="5" xfId="0" applyNumberFormat="1" applyBorder="1" applyAlignment="1">
      <alignment horizontal="center"/>
    </xf>
    <xf numFmtId="0" fontId="0" fillId="0" borderId="11" xfId="0" applyBorder="1"/>
    <xf numFmtId="0" fontId="3" fillId="0" borderId="11" xfId="0" applyFont="1" applyBorder="1" applyAlignment="1">
      <alignment vertical="center" wrapText="1"/>
    </xf>
    <xf numFmtId="3" fontId="6" fillId="2" borderId="8" xfId="1"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16" fillId="0" borderId="0" xfId="0" applyFont="1"/>
    <xf numFmtId="0" fontId="0" fillId="0" borderId="0" xfId="0" applyAlignment="1">
      <alignment horizontal="left" indent="1"/>
    </xf>
    <xf numFmtId="0" fontId="0" fillId="0" borderId="7" xfId="0" applyBorder="1" applyAlignment="1">
      <alignment horizontal="center"/>
    </xf>
    <xf numFmtId="0" fontId="5" fillId="2" borderId="0" xfId="0" applyFont="1" applyFill="1"/>
    <xf numFmtId="9" fontId="0" fillId="0" borderId="7" xfId="2" applyFont="1" applyBorder="1" applyAlignment="1">
      <alignment horizontal="center" vertical="center"/>
    </xf>
    <xf numFmtId="9" fontId="17" fillId="0" borderId="7" xfId="2" applyFont="1" applyBorder="1" applyAlignment="1">
      <alignment horizontal="center" vertical="center"/>
    </xf>
    <xf numFmtId="0" fontId="18" fillId="0" borderId="0" xfId="0" applyFont="1" applyAlignment="1">
      <alignment wrapText="1"/>
    </xf>
    <xf numFmtId="3" fontId="8" fillId="4" borderId="1" xfId="0" applyNumberFormat="1" applyFont="1" applyFill="1" applyBorder="1" applyAlignment="1">
      <alignment horizontal="center" vertical="center"/>
    </xf>
    <xf numFmtId="9" fontId="8" fillId="4" borderId="1" xfId="2"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2" fontId="8" fillId="4" borderId="1" xfId="0" applyNumberFormat="1" applyFont="1" applyFill="1" applyBorder="1" applyAlignment="1" applyProtection="1">
      <alignment horizontal="center" vertical="center"/>
      <protection locked="0"/>
    </xf>
    <xf numFmtId="2" fontId="8" fillId="3" borderId="1" xfId="0" applyNumberFormat="1" applyFont="1" applyFill="1" applyBorder="1" applyAlignment="1" applyProtection="1">
      <alignment horizontal="center" vertical="center"/>
      <protection locked="0"/>
    </xf>
    <xf numFmtId="0" fontId="8" fillId="0" borderId="0" xfId="0" applyFont="1"/>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xf>
    <xf numFmtId="0" fontId="9" fillId="2" borderId="0" xfId="0" applyFont="1" applyFill="1" applyAlignment="1">
      <alignment vertical="center" wrapText="1"/>
    </xf>
    <xf numFmtId="0" fontId="9" fillId="2" borderId="0" xfId="0" applyFont="1" applyFill="1" applyAlignment="1">
      <alignment horizontal="center" vertical="center"/>
    </xf>
    <xf numFmtId="0" fontId="9" fillId="2" borderId="6" xfId="0" applyFont="1" applyFill="1" applyBorder="1" applyAlignment="1">
      <alignment vertical="center" wrapText="1"/>
    </xf>
    <xf numFmtId="0" fontId="11" fillId="2" borderId="6" xfId="0" applyFont="1" applyFill="1" applyBorder="1" applyAlignment="1">
      <alignment horizontal="center" vertical="center" wrapText="1"/>
    </xf>
    <xf numFmtId="2"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2" fontId="8" fillId="0" borderId="0" xfId="0" applyNumberFormat="1" applyFont="1" applyAlignment="1">
      <alignment horizontal="center" vertical="center"/>
    </xf>
    <xf numFmtId="0" fontId="11" fillId="2" borderId="0" xfId="0" applyFont="1" applyFill="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xf>
    <xf numFmtId="0" fontId="10" fillId="0" borderId="0" xfId="0" applyFont="1"/>
    <xf numFmtId="0" fontId="10" fillId="0" borderId="0" xfId="0" applyFont="1" applyAlignment="1">
      <alignment horizontal="center" vertical="center"/>
    </xf>
    <xf numFmtId="0" fontId="7" fillId="0" borderId="0" xfId="0" applyFont="1" applyAlignment="1">
      <alignment horizontal="left" vertical="center" wrapText="1"/>
    </xf>
    <xf numFmtId="0" fontId="9" fillId="2" borderId="6" xfId="0" applyFont="1" applyFill="1" applyBorder="1" applyAlignment="1">
      <alignment horizontal="left" vertical="center" wrapText="1"/>
    </xf>
    <xf numFmtId="0" fontId="5" fillId="2" borderId="0" xfId="0" applyFont="1" applyFill="1" applyAlignment="1">
      <alignment horizontal="left"/>
    </xf>
    <xf numFmtId="0" fontId="0" fillId="0" borderId="0" xfId="0" applyAlignment="1">
      <alignment horizontal="left" vertical="top" wrapText="1"/>
    </xf>
    <xf numFmtId="3" fontId="6" fillId="2" borderId="13" xfId="1" applyNumberFormat="1" applyFont="1" applyFill="1" applyBorder="1" applyAlignment="1">
      <alignment horizontal="center" vertical="center" wrapText="1"/>
    </xf>
    <xf numFmtId="3" fontId="6" fillId="2" borderId="0" xfId="1" applyNumberFormat="1" applyFont="1" applyFill="1" applyAlignment="1">
      <alignment horizontal="center" vertical="center" wrapText="1"/>
    </xf>
    <xf numFmtId="3" fontId="4" fillId="2" borderId="15" xfId="1" applyNumberFormat="1" applyFont="1" applyFill="1" applyBorder="1" applyAlignment="1">
      <alignment horizontal="center" vertical="center" wrapText="1"/>
    </xf>
    <xf numFmtId="3" fontId="4" fillId="2" borderId="17" xfId="1" applyNumberFormat="1" applyFont="1" applyFill="1" applyBorder="1" applyAlignment="1">
      <alignment horizontal="center" vertical="center" wrapText="1"/>
    </xf>
    <xf numFmtId="3" fontId="4" fillId="2" borderId="16" xfId="1"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3" fontId="4" fillId="2" borderId="18" xfId="1" applyNumberFormat="1" applyFont="1" applyFill="1" applyBorder="1" applyAlignment="1">
      <alignment horizontal="center" vertical="center" wrapText="1"/>
    </xf>
    <xf numFmtId="3" fontId="4" fillId="2" borderId="4" xfId="1" applyNumberFormat="1" applyFont="1" applyFill="1" applyBorder="1" applyAlignment="1">
      <alignment horizontal="center" vertical="center" wrapText="1"/>
    </xf>
    <xf numFmtId="3" fontId="6" fillId="2" borderId="12" xfId="1" applyNumberFormat="1" applyFont="1" applyFill="1" applyBorder="1" applyAlignment="1">
      <alignment horizontal="center" vertical="center"/>
    </xf>
    <xf numFmtId="3" fontId="6" fillId="2" borderId="2" xfId="1" applyNumberFormat="1" applyFont="1" applyFill="1" applyBorder="1" applyAlignment="1">
      <alignment horizontal="center" vertical="center"/>
    </xf>
    <xf numFmtId="3" fontId="6" fillId="2" borderId="3" xfId="1" applyNumberFormat="1" applyFont="1" applyFill="1" applyBorder="1" applyAlignment="1">
      <alignment horizontal="center" vertical="center"/>
    </xf>
    <xf numFmtId="3" fontId="6" fillId="2" borderId="12" xfId="1" applyNumberFormat="1" applyFont="1" applyFill="1" applyBorder="1" applyAlignment="1">
      <alignment horizontal="center" vertical="center" wrapText="1"/>
    </xf>
    <xf numFmtId="3" fontId="6" fillId="2" borderId="2" xfId="1" applyNumberFormat="1" applyFont="1" applyFill="1" applyBorder="1" applyAlignment="1">
      <alignment horizontal="center" vertical="center" wrapText="1"/>
    </xf>
    <xf numFmtId="3" fontId="6" fillId="2" borderId="3" xfId="1"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164" fontId="2" fillId="2" borderId="10" xfId="1" applyNumberFormat="1"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3" fontId="4" fillId="2" borderId="1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3" fontId="4" fillId="2" borderId="3" xfId="1" applyNumberFormat="1" applyFont="1" applyFill="1" applyBorder="1" applyAlignment="1">
      <alignment horizontal="center" vertical="center" wrapText="1"/>
    </xf>
  </cellXfs>
  <cellStyles count="3">
    <cellStyle name="Comma" xfId="1" builtinId="3"/>
    <cellStyle name="Normal" xfId="0" builtinId="0"/>
    <cellStyle name="Percent" xfId="2" builtinId="5"/>
  </cellStyles>
  <dxfs count="4">
    <dxf>
      <font>
        <color rgb="FFFF0000"/>
      </font>
    </dxf>
    <dxf>
      <font>
        <color rgb="FFFF0000"/>
      </font>
    </dxf>
    <dxf>
      <font>
        <color theme="5" tint="-0.24994659260841701"/>
      </font>
    </dxf>
    <dxf>
      <font>
        <color theme="9" tint="-0.24994659260841701"/>
      </font>
    </dxf>
  </dxfs>
  <tableStyles count="0" defaultTableStyle="TableStyleMedium2" defaultPivotStyle="PivotStyleLight16"/>
  <colors>
    <mruColors>
      <color rgb="FFEF5028"/>
      <color rgb="FF1625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rtlCol="0" anchor="ctr" anchorCtr="1"/>
          <a:lstStyle/>
          <a:p>
            <a:pPr>
              <a:defRPr sz="1800" b="1" i="0" u="none" strike="noStrike" kern="1200" baseline="0">
                <a:solidFill>
                  <a:schemeClr val="tx1"/>
                </a:solidFill>
                <a:latin typeface="+mn-lt"/>
                <a:ea typeface="+mn-ea"/>
                <a:cs typeface="+mn-cs"/>
              </a:defRPr>
            </a:pPr>
            <a:r>
              <a:rPr lang="de-CH"/>
              <a:t>Testing Efforts</a:t>
            </a:r>
            <a:endParaRPr lang="de-CH" baseline="0"/>
          </a:p>
        </c:rich>
      </c:tx>
      <c:overlay val="0"/>
      <c:spPr>
        <a:noFill/>
        <a:ln>
          <a:noFill/>
        </a:ln>
        <a:effectLst/>
      </c:spPr>
      <c:txPr>
        <a:bodyPr rot="0" spcFirstLastPara="1" vertOverflow="ellipsis" vert="horz" wrap="square" rtlCol="0" anchor="ctr" anchorCtr="1"/>
        <a:lstStyle/>
        <a:p>
          <a:pPr>
            <a:defRPr sz="1800" b="1" i="0" u="none" strike="noStrike" kern="1200" baseline="0">
              <a:solidFill>
                <a:schemeClr val="tx1"/>
              </a:solidFill>
              <a:latin typeface="+mn-lt"/>
              <a:ea typeface="+mn-ea"/>
              <a:cs typeface="+mn-cs"/>
            </a:defRPr>
          </a:pPr>
          <a:endParaRPr lang="LID4096"/>
        </a:p>
      </c:txPr>
    </c:title>
    <c:autoTitleDeleted val="0"/>
    <c:plotArea>
      <c:layout/>
      <c:lineChart>
        <c:grouping val="standard"/>
        <c:varyColors val="0"/>
        <c:ser>
          <c:idx val="7"/>
          <c:order val="0"/>
          <c:tx>
            <c:v>Manual Testing</c:v>
          </c:tx>
          <c:spPr>
            <a:ln w="19050" cap="rnd" cmpd="sng" algn="ctr">
              <a:solidFill>
                <a:srgbClr val="16252D"/>
              </a:solidFill>
              <a:prstDash val="solid"/>
              <a:round/>
            </a:ln>
            <a:effectLst/>
          </c:spPr>
          <c:marker>
            <c:symbol val="none"/>
          </c:marker>
          <c:val>
            <c:numRef>
              <c:f>Simulation!$P$7:$P$33</c:f>
              <c:numCache>
                <c:formatCode>#,##0.00</c:formatCode>
                <c:ptCount val="27"/>
                <c:pt idx="0">
                  <c:v>10</c:v>
                </c:pt>
                <c:pt idx="1">
                  <c:v>30</c:v>
                </c:pt>
                <c:pt idx="2">
                  <c:v>60</c:v>
                </c:pt>
                <c:pt idx="3">
                  <c:v>100</c:v>
                </c:pt>
                <c:pt idx="4">
                  <c:v>150</c:v>
                </c:pt>
                <c:pt idx="5">
                  <c:v>210</c:v>
                </c:pt>
                <c:pt idx="6">
                  <c:v>280</c:v>
                </c:pt>
                <c:pt idx="7">
                  <c:v>360</c:v>
                </c:pt>
                <c:pt idx="8">
                  <c:v>450</c:v>
                </c:pt>
                <c:pt idx="9">
                  <c:v>550</c:v>
                </c:pt>
                <c:pt idx="10">
                  <c:v>660</c:v>
                </c:pt>
                <c:pt idx="11">
                  <c:v>780</c:v>
                </c:pt>
                <c:pt idx="12">
                  <c:v>910</c:v>
                </c:pt>
                <c:pt idx="13">
                  <c:v>1050</c:v>
                </c:pt>
                <c:pt idx="14">
                  <c:v>1200</c:v>
                </c:pt>
                <c:pt idx="15">
                  <c:v>1360</c:v>
                </c:pt>
                <c:pt idx="16">
                  <c:v>1530</c:v>
                </c:pt>
                <c:pt idx="17">
                  <c:v>1710</c:v>
                </c:pt>
                <c:pt idx="18">
                  <c:v>1900</c:v>
                </c:pt>
                <c:pt idx="19">
                  <c:v>2100</c:v>
                </c:pt>
                <c:pt idx="20">
                  <c:v>2310</c:v>
                </c:pt>
                <c:pt idx="21">
                  <c:v>2530</c:v>
                </c:pt>
                <c:pt idx="22">
                  <c:v>2760</c:v>
                </c:pt>
                <c:pt idx="23">
                  <c:v>3000</c:v>
                </c:pt>
                <c:pt idx="24">
                  <c:v>3250</c:v>
                </c:pt>
                <c:pt idx="25">
                  <c:v>3510</c:v>
                </c:pt>
                <c:pt idx="26">
                  <c:v>3780</c:v>
                </c:pt>
              </c:numCache>
            </c:numRef>
          </c:val>
          <c:smooth val="0"/>
          <c:extLst>
            <c:ext xmlns:c16="http://schemas.microsoft.com/office/drawing/2014/chart" uri="{C3380CC4-5D6E-409C-BE32-E72D297353CC}">
              <c16:uniqueId val="{00000000-9469-479B-AB44-DC5E92F2CD50}"/>
            </c:ext>
          </c:extLst>
        </c:ser>
        <c:ser>
          <c:idx val="8"/>
          <c:order val="1"/>
          <c:tx>
            <c:v>Automated Testing with BiG EVAL</c:v>
          </c:tx>
          <c:spPr>
            <a:ln w="19050" cap="rnd" cmpd="sng" algn="ctr">
              <a:solidFill>
                <a:srgbClr val="EF5028"/>
              </a:solidFill>
              <a:prstDash val="solid"/>
              <a:round/>
            </a:ln>
            <a:effectLst/>
          </c:spPr>
          <c:marker>
            <c:symbol val="none"/>
          </c:marker>
          <c:val>
            <c:numRef>
              <c:f>Simulation!$AF$7:$AF$33</c:f>
              <c:numCache>
                <c:formatCode>#,##0.00</c:formatCode>
                <c:ptCount val="27"/>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pt idx="14">
                  <c:v>150</c:v>
                </c:pt>
                <c:pt idx="15">
                  <c:v>160</c:v>
                </c:pt>
                <c:pt idx="16">
                  <c:v>170</c:v>
                </c:pt>
                <c:pt idx="17">
                  <c:v>180</c:v>
                </c:pt>
                <c:pt idx="18">
                  <c:v>190</c:v>
                </c:pt>
                <c:pt idx="19">
                  <c:v>200</c:v>
                </c:pt>
                <c:pt idx="20">
                  <c:v>210</c:v>
                </c:pt>
                <c:pt idx="21">
                  <c:v>220</c:v>
                </c:pt>
                <c:pt idx="22">
                  <c:v>230</c:v>
                </c:pt>
                <c:pt idx="23">
                  <c:v>240</c:v>
                </c:pt>
                <c:pt idx="24">
                  <c:v>250</c:v>
                </c:pt>
                <c:pt idx="25">
                  <c:v>260</c:v>
                </c:pt>
                <c:pt idx="26">
                  <c:v>270</c:v>
                </c:pt>
              </c:numCache>
            </c:numRef>
          </c:val>
          <c:smooth val="0"/>
          <c:extLst>
            <c:ext xmlns:c16="http://schemas.microsoft.com/office/drawing/2014/chart" uri="{C3380CC4-5D6E-409C-BE32-E72D297353CC}">
              <c16:uniqueId val="{00000001-9469-479B-AB44-DC5E92F2CD50}"/>
            </c:ext>
          </c:extLst>
        </c:ser>
        <c:dLbls>
          <c:showLegendKey val="0"/>
          <c:showVal val="0"/>
          <c:showCatName val="0"/>
          <c:showSerName val="0"/>
          <c:showPercent val="0"/>
          <c:showBubbleSize val="0"/>
        </c:dLbls>
        <c:smooth val="0"/>
        <c:axId val="561259856"/>
        <c:axId val="561255264"/>
      </c:lineChart>
      <c:catAx>
        <c:axId val="561259856"/>
        <c:scaling>
          <c:orientation val="minMax"/>
        </c:scaling>
        <c:delete val="0"/>
        <c:axPos val="b"/>
        <c:title>
          <c:tx>
            <c:rich>
              <a:bodyPr rot="0" spcFirstLastPara="1" vertOverflow="ellipsis" vert="horz" wrap="square" rtlCol="0" anchor="ctr" anchorCtr="1"/>
              <a:lstStyle/>
              <a:p>
                <a:pPr>
                  <a:defRPr sz="1000" b="1" i="0" u="none" strike="noStrike" kern="1200" baseline="0">
                    <a:solidFill>
                      <a:schemeClr val="tx1"/>
                    </a:solidFill>
                    <a:latin typeface="+mn-lt"/>
                    <a:ea typeface="+mn-ea"/>
                    <a:cs typeface="+mn-cs"/>
                  </a:defRPr>
                </a:pPr>
                <a:r>
                  <a:rPr lang="de-CH"/>
                  <a:t>Iteration</a:t>
                </a:r>
              </a:p>
            </c:rich>
          </c:tx>
          <c:overlay val="0"/>
          <c:spPr>
            <a:noFill/>
            <a:ln>
              <a:noFill/>
            </a:ln>
            <a:effectLst/>
          </c:spPr>
          <c:txPr>
            <a:bodyPr rot="0" spcFirstLastPara="1" vertOverflow="ellipsis" vert="horz" wrap="square" rtlCol="0" anchor="ctr" anchorCtr="1"/>
            <a:lstStyle/>
            <a:p>
              <a:pPr>
                <a:defRPr sz="1000" b="1" i="0" u="none" strike="noStrike" kern="1200" baseline="0">
                  <a:solidFill>
                    <a:schemeClr val="tx1"/>
                  </a:solidFill>
                  <a:latin typeface="+mn-lt"/>
                  <a:ea typeface="+mn-ea"/>
                  <a:cs typeface="+mn-cs"/>
                </a:defRPr>
              </a:pPr>
              <a:endParaRPr lang="LID4096"/>
            </a:p>
          </c:txPr>
        </c:title>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rtlCol="0"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561255264"/>
        <c:crosses val="autoZero"/>
        <c:auto val="1"/>
        <c:lblAlgn val="ctr"/>
        <c:lblOffset val="100"/>
        <c:noMultiLvlLbl val="0"/>
      </c:catAx>
      <c:valAx>
        <c:axId val="561255264"/>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rtlCol="0" anchor="ctr" anchorCtr="1"/>
              <a:lstStyle/>
              <a:p>
                <a:pPr>
                  <a:defRPr sz="1000" b="1" i="0" u="none" strike="noStrike" kern="1200" baseline="0">
                    <a:solidFill>
                      <a:schemeClr val="tx1"/>
                    </a:solidFill>
                    <a:latin typeface="+mn-lt"/>
                    <a:ea typeface="+mn-ea"/>
                    <a:cs typeface="+mn-cs"/>
                  </a:defRPr>
                </a:pPr>
                <a:r>
                  <a:rPr lang="de-CH"/>
                  <a:t>Effort [h]</a:t>
                </a:r>
              </a:p>
            </c:rich>
          </c:tx>
          <c:overlay val="0"/>
          <c:spPr>
            <a:noFill/>
            <a:ln>
              <a:noFill/>
            </a:ln>
            <a:effectLst/>
          </c:spPr>
          <c:txPr>
            <a:bodyPr rot="-5400000" spcFirstLastPara="1" vertOverflow="ellipsis" vert="horz" wrap="square" rtlCol="0" anchor="ctr" anchorCtr="1"/>
            <a:lstStyle/>
            <a:p>
              <a:pPr>
                <a:defRPr sz="1000" b="1" i="0" u="none" strike="noStrike" kern="1200" baseline="0">
                  <a:solidFill>
                    <a:schemeClr val="tx1"/>
                  </a:solidFill>
                  <a:latin typeface="+mn-lt"/>
                  <a:ea typeface="+mn-ea"/>
                  <a:cs typeface="+mn-cs"/>
                </a:defRPr>
              </a:pPr>
              <a:endParaRPr lang="LID4096"/>
            </a:p>
          </c:txPr>
        </c:title>
        <c:numFmt formatCode="#,##0.00" sourceLinked="1"/>
        <c:majorTickMark val="none"/>
        <c:minorTickMark val="none"/>
        <c:tickLblPos val="nextTo"/>
        <c:spPr>
          <a:noFill/>
          <a:ln w="6350" cap="flat" cmpd="sng" algn="ctr">
            <a:noFill/>
            <a:prstDash val="solid"/>
            <a:round/>
          </a:ln>
          <a:effectLst/>
        </c:spPr>
        <c:txPr>
          <a:bodyPr rot="-60000000" spcFirstLastPara="1" vertOverflow="ellipsis" vert="horz" wrap="square" rtlCol="0"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56125985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rtlCol="0" anchor="ctr" anchorCtr="1"/>
        <a:lstStyle/>
        <a:p>
          <a:pPr>
            <a:defRPr sz="1000" b="0" i="0" u="none" strike="noStrike" kern="1200" baseline="0">
              <a:solidFill>
                <a:schemeClr val="tx1"/>
              </a:solidFill>
              <a:latin typeface="+mn-lt"/>
              <a:ea typeface="+mn-ea"/>
              <a:cs typeface="+mn-cs"/>
            </a:defRPr>
          </a:pPr>
          <a:endParaRPr lang="LID4096"/>
        </a:p>
      </c:txPr>
    </c:legend>
    <c:plotVisOnly val="1"/>
    <c:dispBlanksAs val="gap"/>
    <c:showDLblsOverMax val="0"/>
    <c:extLst/>
  </c:chart>
  <c:spPr>
    <a:solidFill>
      <a:schemeClr val="bg1"/>
    </a:solidFill>
    <a:ln w="6350" cap="flat" cmpd="sng" algn="ctr">
      <a:solidFill>
        <a:schemeClr val="tx1">
          <a:tint val="75000"/>
        </a:schemeClr>
      </a:solidFill>
      <a:prstDash val="solid"/>
      <a:round/>
    </a:ln>
    <a:effectLst/>
  </c:spPr>
  <c:txPr>
    <a:bodyPr rtlCol="0"/>
    <a:lstStyle/>
    <a:p>
      <a:pPr>
        <a:defRPr/>
      </a:pPr>
      <a:endParaRPr lang="LID4096"/>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rtlCol="0" anchor="ctr" anchorCtr="1"/>
          <a:lstStyle/>
          <a:p>
            <a:pPr>
              <a:defRPr sz="1800" b="1" i="0" u="none" strike="noStrike" kern="1200" baseline="0">
                <a:solidFill>
                  <a:schemeClr val="tx1"/>
                </a:solidFill>
                <a:latin typeface="+mn-lt"/>
                <a:ea typeface="+mn-ea"/>
                <a:cs typeface="+mn-cs"/>
              </a:defRPr>
            </a:pPr>
            <a:r>
              <a:rPr lang="de-CH"/>
              <a:t>Testing Costs</a:t>
            </a:r>
          </a:p>
        </c:rich>
      </c:tx>
      <c:overlay val="0"/>
      <c:spPr>
        <a:noFill/>
        <a:ln>
          <a:noFill/>
        </a:ln>
        <a:effectLst/>
      </c:spPr>
      <c:txPr>
        <a:bodyPr rot="0" spcFirstLastPara="1" vertOverflow="ellipsis" vert="horz" wrap="square" rtlCol="0" anchor="ctr" anchorCtr="1"/>
        <a:lstStyle/>
        <a:p>
          <a:pPr>
            <a:defRPr sz="1800" b="1" i="0" u="none" strike="noStrike" kern="1200" baseline="0">
              <a:solidFill>
                <a:schemeClr val="tx1"/>
              </a:solidFill>
              <a:latin typeface="+mn-lt"/>
              <a:ea typeface="+mn-ea"/>
              <a:cs typeface="+mn-cs"/>
            </a:defRPr>
          </a:pPr>
          <a:endParaRPr lang="LID4096"/>
        </a:p>
      </c:txPr>
    </c:title>
    <c:autoTitleDeleted val="0"/>
    <c:plotArea>
      <c:layout/>
      <c:lineChart>
        <c:grouping val="standard"/>
        <c:varyColors val="0"/>
        <c:ser>
          <c:idx val="9"/>
          <c:order val="0"/>
          <c:tx>
            <c:v>Manual Testing</c:v>
          </c:tx>
          <c:spPr>
            <a:ln w="19050" cap="rnd" cmpd="sng" algn="ctr">
              <a:solidFill>
                <a:srgbClr val="16252D"/>
              </a:solidFill>
              <a:prstDash val="solid"/>
              <a:round/>
            </a:ln>
            <a:effectLst/>
          </c:spPr>
          <c:marker>
            <c:symbol val="none"/>
          </c:marker>
          <c:val>
            <c:numRef>
              <c:f>Simulation!$T$7:$T$33</c:f>
              <c:numCache>
                <c:formatCode>#,##0</c:formatCode>
                <c:ptCount val="27"/>
                <c:pt idx="0">
                  <c:v>666.66666666666663</c:v>
                </c:pt>
                <c:pt idx="1">
                  <c:v>2000</c:v>
                </c:pt>
                <c:pt idx="2">
                  <c:v>4000</c:v>
                </c:pt>
                <c:pt idx="3">
                  <c:v>6666.6666666666661</c:v>
                </c:pt>
                <c:pt idx="4">
                  <c:v>10000</c:v>
                </c:pt>
                <c:pt idx="5">
                  <c:v>14000</c:v>
                </c:pt>
                <c:pt idx="6">
                  <c:v>18666.666666666664</c:v>
                </c:pt>
                <c:pt idx="7">
                  <c:v>23999.999999999996</c:v>
                </c:pt>
                <c:pt idx="8">
                  <c:v>29999.999999999996</c:v>
                </c:pt>
                <c:pt idx="9">
                  <c:v>36666.666666666664</c:v>
                </c:pt>
                <c:pt idx="10">
                  <c:v>44000</c:v>
                </c:pt>
                <c:pt idx="11">
                  <c:v>52000</c:v>
                </c:pt>
                <c:pt idx="12">
                  <c:v>60666.666666666664</c:v>
                </c:pt>
                <c:pt idx="13">
                  <c:v>70000</c:v>
                </c:pt>
                <c:pt idx="14">
                  <c:v>80000</c:v>
                </c:pt>
                <c:pt idx="15">
                  <c:v>90666.666666666672</c:v>
                </c:pt>
                <c:pt idx="16">
                  <c:v>102000</c:v>
                </c:pt>
                <c:pt idx="17">
                  <c:v>114000</c:v>
                </c:pt>
                <c:pt idx="18">
                  <c:v>126666.66666666667</c:v>
                </c:pt>
                <c:pt idx="19">
                  <c:v>140000</c:v>
                </c:pt>
                <c:pt idx="20">
                  <c:v>154000</c:v>
                </c:pt>
                <c:pt idx="21">
                  <c:v>168666.66666666666</c:v>
                </c:pt>
                <c:pt idx="22">
                  <c:v>184000</c:v>
                </c:pt>
                <c:pt idx="23">
                  <c:v>200000</c:v>
                </c:pt>
                <c:pt idx="24">
                  <c:v>216666.66666666666</c:v>
                </c:pt>
                <c:pt idx="25">
                  <c:v>234000</c:v>
                </c:pt>
                <c:pt idx="26">
                  <c:v>252000</c:v>
                </c:pt>
              </c:numCache>
            </c:numRef>
          </c:val>
          <c:smooth val="0"/>
          <c:extLst>
            <c:ext xmlns:c16="http://schemas.microsoft.com/office/drawing/2014/chart" uri="{C3380CC4-5D6E-409C-BE32-E72D297353CC}">
              <c16:uniqueId val="{00000000-9249-47BF-AB1A-90128BB623E7}"/>
            </c:ext>
          </c:extLst>
        </c:ser>
        <c:ser>
          <c:idx val="10"/>
          <c:order val="1"/>
          <c:tx>
            <c:v>Automated Testing with BiG EVAL</c:v>
          </c:tx>
          <c:spPr>
            <a:ln w="19050" cap="rnd" cmpd="sng" algn="ctr">
              <a:solidFill>
                <a:srgbClr val="EF5028"/>
              </a:solidFill>
              <a:prstDash val="solid"/>
              <a:round/>
            </a:ln>
            <a:effectLst/>
          </c:spPr>
          <c:marker>
            <c:symbol val="none"/>
          </c:marker>
          <c:val>
            <c:numRef>
              <c:f>Simulation!$AI$7:$AI$33</c:f>
              <c:numCache>
                <c:formatCode>#,##0</c:formatCode>
                <c:ptCount val="27"/>
                <c:pt idx="0">
                  <c:v>1470.5128205128206</c:v>
                </c:pt>
                <c:pt idx="1">
                  <c:v>2941.0256410256411</c:v>
                </c:pt>
                <c:pt idx="2">
                  <c:v>4411.5384615384619</c:v>
                </c:pt>
                <c:pt idx="3">
                  <c:v>5882.0512820512822</c:v>
                </c:pt>
                <c:pt idx="4">
                  <c:v>7352.5641025641025</c:v>
                </c:pt>
                <c:pt idx="5">
                  <c:v>8823.0769230769238</c:v>
                </c:pt>
                <c:pt idx="6">
                  <c:v>10293.589743589744</c:v>
                </c:pt>
                <c:pt idx="7">
                  <c:v>11764.102564102564</c:v>
                </c:pt>
                <c:pt idx="8">
                  <c:v>13234.615384615385</c:v>
                </c:pt>
                <c:pt idx="9">
                  <c:v>14705.128205128205</c:v>
                </c:pt>
                <c:pt idx="10">
                  <c:v>16175.641025641025</c:v>
                </c:pt>
                <c:pt idx="11">
                  <c:v>17646.153846153848</c:v>
                </c:pt>
                <c:pt idx="12">
                  <c:v>19116.666666666668</c:v>
                </c:pt>
                <c:pt idx="13">
                  <c:v>20587.179487179488</c:v>
                </c:pt>
                <c:pt idx="14">
                  <c:v>22057.692307692309</c:v>
                </c:pt>
                <c:pt idx="15">
                  <c:v>23528.205128205129</c:v>
                </c:pt>
                <c:pt idx="16">
                  <c:v>24998.717948717949</c:v>
                </c:pt>
                <c:pt idx="17">
                  <c:v>26469.23076923077</c:v>
                </c:pt>
                <c:pt idx="18">
                  <c:v>27939.74358974359</c:v>
                </c:pt>
                <c:pt idx="19">
                  <c:v>29410.25641025641</c:v>
                </c:pt>
                <c:pt idx="20">
                  <c:v>30880.76923076923</c:v>
                </c:pt>
                <c:pt idx="21">
                  <c:v>32351.282051282051</c:v>
                </c:pt>
                <c:pt idx="22">
                  <c:v>33821.794871794875</c:v>
                </c:pt>
                <c:pt idx="23">
                  <c:v>35292.307692307695</c:v>
                </c:pt>
                <c:pt idx="24">
                  <c:v>36762.820512820515</c:v>
                </c:pt>
                <c:pt idx="25">
                  <c:v>38233.333333333336</c:v>
                </c:pt>
                <c:pt idx="26">
                  <c:v>39703.846153846156</c:v>
                </c:pt>
              </c:numCache>
            </c:numRef>
          </c:val>
          <c:smooth val="0"/>
          <c:extLst>
            <c:ext xmlns:c16="http://schemas.microsoft.com/office/drawing/2014/chart" uri="{C3380CC4-5D6E-409C-BE32-E72D297353CC}">
              <c16:uniqueId val="{00000001-9249-47BF-AB1A-90128BB623E7}"/>
            </c:ext>
          </c:extLst>
        </c:ser>
        <c:dLbls>
          <c:showLegendKey val="0"/>
          <c:showVal val="0"/>
          <c:showCatName val="0"/>
          <c:showSerName val="0"/>
          <c:showPercent val="0"/>
          <c:showBubbleSize val="0"/>
        </c:dLbls>
        <c:smooth val="0"/>
        <c:axId val="561259856"/>
        <c:axId val="561255264"/>
      </c:lineChart>
      <c:catAx>
        <c:axId val="561259856"/>
        <c:scaling>
          <c:orientation val="minMax"/>
        </c:scaling>
        <c:delete val="0"/>
        <c:axPos val="b"/>
        <c:title>
          <c:tx>
            <c:rich>
              <a:bodyPr rot="0" spcFirstLastPara="1" vertOverflow="ellipsis" vert="horz" wrap="square" rtlCol="0" anchor="ctr" anchorCtr="1"/>
              <a:lstStyle/>
              <a:p>
                <a:pPr>
                  <a:defRPr sz="1000" b="1" i="0" u="none" strike="noStrike" kern="1200" baseline="0">
                    <a:solidFill>
                      <a:schemeClr val="tx1"/>
                    </a:solidFill>
                    <a:latin typeface="+mn-lt"/>
                    <a:ea typeface="+mn-ea"/>
                    <a:cs typeface="+mn-cs"/>
                  </a:defRPr>
                </a:pPr>
                <a:r>
                  <a:rPr lang="de-CH"/>
                  <a:t>Iteration</a:t>
                </a:r>
              </a:p>
            </c:rich>
          </c:tx>
          <c:overlay val="0"/>
          <c:spPr>
            <a:noFill/>
            <a:ln>
              <a:noFill/>
            </a:ln>
            <a:effectLst/>
          </c:spPr>
          <c:txPr>
            <a:bodyPr rot="0" spcFirstLastPara="1" vertOverflow="ellipsis" vert="horz" wrap="square" rtlCol="0" anchor="ctr" anchorCtr="1"/>
            <a:lstStyle/>
            <a:p>
              <a:pPr>
                <a:defRPr sz="1000" b="1" i="0" u="none" strike="noStrike" kern="1200" baseline="0">
                  <a:solidFill>
                    <a:schemeClr val="tx1"/>
                  </a:solidFill>
                  <a:latin typeface="+mn-lt"/>
                  <a:ea typeface="+mn-ea"/>
                  <a:cs typeface="+mn-cs"/>
                </a:defRPr>
              </a:pPr>
              <a:endParaRPr lang="LID4096"/>
            </a:p>
          </c:txPr>
        </c:title>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rtlCol="0"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561255264"/>
        <c:crosses val="autoZero"/>
        <c:auto val="1"/>
        <c:lblAlgn val="ctr"/>
        <c:lblOffset val="100"/>
        <c:noMultiLvlLbl val="0"/>
      </c:catAx>
      <c:valAx>
        <c:axId val="561255264"/>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rtlCol="0" anchor="ctr" anchorCtr="1"/>
              <a:lstStyle/>
              <a:p>
                <a:pPr>
                  <a:defRPr sz="1000" b="1" i="0" u="none" strike="noStrike" kern="1200" baseline="0">
                    <a:solidFill>
                      <a:schemeClr val="tx1"/>
                    </a:solidFill>
                    <a:latin typeface="+mn-lt"/>
                    <a:ea typeface="+mn-ea"/>
                    <a:cs typeface="+mn-cs"/>
                  </a:defRPr>
                </a:pPr>
                <a:r>
                  <a:rPr lang="de-CH"/>
                  <a:t>Costs [USD]</a:t>
                </a:r>
              </a:p>
            </c:rich>
          </c:tx>
          <c:overlay val="0"/>
          <c:spPr>
            <a:noFill/>
            <a:ln>
              <a:noFill/>
            </a:ln>
            <a:effectLst/>
          </c:spPr>
          <c:txPr>
            <a:bodyPr rot="-5400000" spcFirstLastPara="1" vertOverflow="ellipsis" vert="horz" wrap="square" rtlCol="0" anchor="ctr" anchorCtr="1"/>
            <a:lstStyle/>
            <a:p>
              <a:pPr>
                <a:defRPr sz="1000" b="1" i="0" u="none" strike="noStrike" kern="1200" baseline="0">
                  <a:solidFill>
                    <a:schemeClr val="tx1"/>
                  </a:solidFill>
                  <a:latin typeface="+mn-lt"/>
                  <a:ea typeface="+mn-ea"/>
                  <a:cs typeface="+mn-cs"/>
                </a:defRPr>
              </a:pPr>
              <a:endParaRPr lang="LID4096"/>
            </a:p>
          </c:txPr>
        </c:title>
        <c:numFmt formatCode="#,##0" sourceLinked="1"/>
        <c:majorTickMark val="none"/>
        <c:minorTickMark val="none"/>
        <c:tickLblPos val="nextTo"/>
        <c:spPr>
          <a:noFill/>
          <a:ln w="6350" cap="flat" cmpd="sng" algn="ctr">
            <a:noFill/>
            <a:prstDash val="solid"/>
            <a:round/>
          </a:ln>
          <a:effectLst/>
        </c:spPr>
        <c:txPr>
          <a:bodyPr rot="-60000000" spcFirstLastPara="1" vertOverflow="ellipsis" vert="horz" wrap="square" rtlCol="0"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56125985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rtlCol="0" anchor="ctr" anchorCtr="1"/>
        <a:lstStyle/>
        <a:p>
          <a:pPr>
            <a:defRPr sz="1000" b="0" i="0" u="none" strike="noStrike" kern="1200" baseline="0">
              <a:solidFill>
                <a:schemeClr val="tx1"/>
              </a:solidFill>
              <a:latin typeface="+mn-lt"/>
              <a:ea typeface="+mn-ea"/>
              <a:cs typeface="+mn-cs"/>
            </a:defRPr>
          </a:pPr>
          <a:endParaRPr lang="LID4096"/>
        </a:p>
      </c:txPr>
    </c:legend>
    <c:plotVisOnly val="1"/>
    <c:dispBlanksAs val="gap"/>
    <c:showDLblsOverMax val="0"/>
    <c:extLst/>
  </c:chart>
  <c:spPr>
    <a:solidFill>
      <a:schemeClr val="bg1"/>
    </a:solidFill>
    <a:ln w="6350" cap="flat" cmpd="sng" algn="ctr">
      <a:solidFill>
        <a:schemeClr val="tx1">
          <a:tint val="75000"/>
        </a:schemeClr>
      </a:solidFill>
      <a:prstDash val="solid"/>
      <a:round/>
    </a:ln>
    <a:effectLst/>
  </c:spPr>
  <c:txPr>
    <a:bodyPr rtlCol="0"/>
    <a:lstStyle/>
    <a:p>
      <a:pPr>
        <a:defRPr/>
      </a:pPr>
      <a:endParaRPr lang="LID4096"/>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9"/>
          <c:order val="0"/>
          <c:tx>
            <c:v>Manual Testing</c:v>
          </c:tx>
          <c:spPr>
            <a:ln w="19050" cap="rnd" cmpd="sng" algn="ctr">
              <a:solidFill>
                <a:schemeClr val="accent1">
                  <a:lumMod val="75000"/>
                </a:schemeClr>
              </a:solidFill>
              <a:prstDash val="solid"/>
              <a:round/>
            </a:ln>
            <a:effectLst/>
          </c:spPr>
          <c:marker>
            <c:symbol val="none"/>
          </c:marker>
          <c:val>
            <c:numRef>
              <c:f>Simulation!$K$7:$K$33</c:f>
              <c:numCache>
                <c:formatCode>#,##0</c:formatCode>
                <c:ptCount val="27"/>
                <c:pt idx="0">
                  <c:v>300</c:v>
                </c:pt>
                <c:pt idx="1">
                  <c:v>900</c:v>
                </c:pt>
                <c:pt idx="2">
                  <c:v>1800</c:v>
                </c:pt>
                <c:pt idx="3">
                  <c:v>3000</c:v>
                </c:pt>
                <c:pt idx="4">
                  <c:v>4500</c:v>
                </c:pt>
                <c:pt idx="5">
                  <c:v>6300</c:v>
                </c:pt>
                <c:pt idx="6">
                  <c:v>8400</c:v>
                </c:pt>
                <c:pt idx="7">
                  <c:v>10800</c:v>
                </c:pt>
                <c:pt idx="8">
                  <c:v>13500</c:v>
                </c:pt>
                <c:pt idx="9">
                  <c:v>16500</c:v>
                </c:pt>
                <c:pt idx="10">
                  <c:v>19800</c:v>
                </c:pt>
                <c:pt idx="11">
                  <c:v>23400</c:v>
                </c:pt>
                <c:pt idx="12">
                  <c:v>27300</c:v>
                </c:pt>
                <c:pt idx="13">
                  <c:v>31500</c:v>
                </c:pt>
                <c:pt idx="14">
                  <c:v>36000</c:v>
                </c:pt>
                <c:pt idx="15">
                  <c:v>40800</c:v>
                </c:pt>
                <c:pt idx="16">
                  <c:v>45900</c:v>
                </c:pt>
                <c:pt idx="17">
                  <c:v>51300</c:v>
                </c:pt>
                <c:pt idx="18">
                  <c:v>57000</c:v>
                </c:pt>
                <c:pt idx="19">
                  <c:v>63000</c:v>
                </c:pt>
                <c:pt idx="20">
                  <c:v>69300</c:v>
                </c:pt>
                <c:pt idx="21">
                  <c:v>75900</c:v>
                </c:pt>
                <c:pt idx="22">
                  <c:v>82800</c:v>
                </c:pt>
                <c:pt idx="23">
                  <c:v>90000</c:v>
                </c:pt>
                <c:pt idx="24">
                  <c:v>97500</c:v>
                </c:pt>
                <c:pt idx="25">
                  <c:v>105300</c:v>
                </c:pt>
                <c:pt idx="26">
                  <c:v>113400</c:v>
                </c:pt>
              </c:numCache>
            </c:numRef>
          </c:val>
          <c:smooth val="0"/>
          <c:extLst>
            <c:ext xmlns:c16="http://schemas.microsoft.com/office/drawing/2014/chart" uri="{C3380CC4-5D6E-409C-BE32-E72D297353CC}">
              <c16:uniqueId val="{00000000-ADA0-443E-AD12-F068BA2A75F5}"/>
            </c:ext>
          </c:extLst>
        </c:ser>
        <c:ser>
          <c:idx val="10"/>
          <c:order val="1"/>
          <c:tx>
            <c:v>Automated Testing with BiG EVAL</c:v>
          </c:tx>
          <c:spPr>
            <a:ln w="19050" cap="rnd" cmpd="sng" algn="ctr">
              <a:solidFill>
                <a:srgbClr val="EF5028"/>
              </a:solidFill>
              <a:prstDash val="solid"/>
              <a:round/>
            </a:ln>
            <a:effectLst/>
          </c:spPr>
          <c:marker>
            <c:symbol val="none"/>
          </c:marker>
          <c:val>
            <c:numRef>
              <c:f>Simulation!$X$7:$X$33</c:f>
              <c:numCache>
                <c:formatCode>#,##0</c:formatCode>
                <c:ptCount val="27"/>
                <c:pt idx="0">
                  <c:v>300</c:v>
                </c:pt>
                <c:pt idx="1">
                  <c:v>600</c:v>
                </c:pt>
                <c:pt idx="2">
                  <c:v>900</c:v>
                </c:pt>
                <c:pt idx="3">
                  <c:v>1200</c:v>
                </c:pt>
                <c:pt idx="4">
                  <c:v>1500</c:v>
                </c:pt>
                <c:pt idx="5">
                  <c:v>1800</c:v>
                </c:pt>
                <c:pt idx="6">
                  <c:v>2100</c:v>
                </c:pt>
                <c:pt idx="7">
                  <c:v>2400</c:v>
                </c:pt>
                <c:pt idx="8">
                  <c:v>2700</c:v>
                </c:pt>
                <c:pt idx="9">
                  <c:v>3000</c:v>
                </c:pt>
                <c:pt idx="10">
                  <c:v>3300</c:v>
                </c:pt>
                <c:pt idx="11">
                  <c:v>3600</c:v>
                </c:pt>
                <c:pt idx="12">
                  <c:v>3900</c:v>
                </c:pt>
                <c:pt idx="13">
                  <c:v>4200</c:v>
                </c:pt>
                <c:pt idx="14">
                  <c:v>4500</c:v>
                </c:pt>
                <c:pt idx="15">
                  <c:v>4800</c:v>
                </c:pt>
                <c:pt idx="16">
                  <c:v>5100</c:v>
                </c:pt>
                <c:pt idx="17">
                  <c:v>5400</c:v>
                </c:pt>
                <c:pt idx="18">
                  <c:v>5700</c:v>
                </c:pt>
                <c:pt idx="19">
                  <c:v>6000</c:v>
                </c:pt>
                <c:pt idx="20">
                  <c:v>6300</c:v>
                </c:pt>
                <c:pt idx="21">
                  <c:v>6600</c:v>
                </c:pt>
                <c:pt idx="22">
                  <c:v>6900</c:v>
                </c:pt>
                <c:pt idx="23">
                  <c:v>7200</c:v>
                </c:pt>
                <c:pt idx="24">
                  <c:v>7500</c:v>
                </c:pt>
                <c:pt idx="25">
                  <c:v>7800</c:v>
                </c:pt>
                <c:pt idx="26">
                  <c:v>8100</c:v>
                </c:pt>
              </c:numCache>
            </c:numRef>
          </c:val>
          <c:smooth val="0"/>
          <c:extLst>
            <c:ext xmlns:c16="http://schemas.microsoft.com/office/drawing/2014/chart" uri="{C3380CC4-5D6E-409C-BE32-E72D297353CC}">
              <c16:uniqueId val="{00000001-ADA0-443E-AD12-F068BA2A75F5}"/>
            </c:ext>
          </c:extLst>
        </c:ser>
        <c:dLbls>
          <c:showLegendKey val="0"/>
          <c:showVal val="0"/>
          <c:showCatName val="0"/>
          <c:showSerName val="0"/>
          <c:showPercent val="0"/>
          <c:showBubbleSize val="0"/>
        </c:dLbls>
        <c:smooth val="0"/>
        <c:axId val="561259856"/>
        <c:axId val="561255264"/>
      </c:lineChart>
      <c:catAx>
        <c:axId val="561259856"/>
        <c:scaling>
          <c:orientation val="minMax"/>
        </c:scaling>
        <c:delete val="1"/>
        <c:axPos val="b"/>
        <c:title>
          <c:tx>
            <c:rich>
              <a:bodyPr rot="0" spcFirstLastPara="1" vertOverflow="ellipsis" vert="horz" wrap="square" rtlCol="0" anchor="ctr" anchorCtr="1"/>
              <a:lstStyle/>
              <a:p>
                <a:pPr>
                  <a:defRPr sz="1000" b="1" i="0" u="none" strike="noStrike" kern="1200" baseline="0">
                    <a:solidFill>
                      <a:schemeClr val="tx1"/>
                    </a:solidFill>
                    <a:latin typeface="+mn-lt"/>
                    <a:ea typeface="+mn-ea"/>
                    <a:cs typeface="+mn-cs"/>
                  </a:defRPr>
                </a:pPr>
                <a:r>
                  <a:rPr lang="de-CH"/>
                  <a:t>Time</a:t>
                </a:r>
              </a:p>
            </c:rich>
          </c:tx>
          <c:overlay val="0"/>
          <c:spPr>
            <a:noFill/>
            <a:ln>
              <a:noFill/>
            </a:ln>
            <a:effectLst/>
          </c:spPr>
          <c:txPr>
            <a:bodyPr rot="0" spcFirstLastPara="1" vertOverflow="ellipsis" vert="horz" wrap="square" rtlCol="0" anchor="ctr" anchorCtr="1"/>
            <a:lstStyle/>
            <a:p>
              <a:pPr>
                <a:defRPr sz="1000" b="1" i="0" u="none" strike="noStrike" kern="1200" baseline="0">
                  <a:solidFill>
                    <a:schemeClr val="tx1"/>
                  </a:solidFill>
                  <a:latin typeface="+mn-lt"/>
                  <a:ea typeface="+mn-ea"/>
                  <a:cs typeface="+mn-cs"/>
                </a:defRPr>
              </a:pPr>
              <a:endParaRPr lang="LID4096"/>
            </a:p>
          </c:txPr>
        </c:title>
        <c:majorTickMark val="none"/>
        <c:minorTickMark val="none"/>
        <c:tickLblPos val="nextTo"/>
        <c:crossAx val="561255264"/>
        <c:crosses val="autoZero"/>
        <c:auto val="1"/>
        <c:lblAlgn val="ctr"/>
        <c:lblOffset val="100"/>
        <c:noMultiLvlLbl val="0"/>
      </c:catAx>
      <c:valAx>
        <c:axId val="561255264"/>
        <c:scaling>
          <c:orientation val="minMax"/>
        </c:scaling>
        <c:delete val="1"/>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rtlCol="0" anchor="ctr" anchorCtr="1"/>
              <a:lstStyle/>
              <a:p>
                <a:pPr>
                  <a:defRPr sz="1000" b="1" i="0" u="none" strike="noStrike" kern="1200" baseline="0">
                    <a:solidFill>
                      <a:schemeClr val="tx1"/>
                    </a:solidFill>
                    <a:latin typeface="+mn-lt"/>
                    <a:ea typeface="+mn-ea"/>
                    <a:cs typeface="+mn-cs"/>
                  </a:defRPr>
                </a:pPr>
                <a:r>
                  <a:rPr lang="de-CH"/>
                  <a:t>Costs</a:t>
                </a:r>
              </a:p>
            </c:rich>
          </c:tx>
          <c:overlay val="0"/>
          <c:spPr>
            <a:noFill/>
            <a:ln>
              <a:noFill/>
            </a:ln>
            <a:effectLst/>
          </c:spPr>
          <c:txPr>
            <a:bodyPr rot="-5400000" spcFirstLastPara="1" vertOverflow="ellipsis" vert="horz" wrap="square" rtlCol="0" anchor="ctr" anchorCtr="1"/>
            <a:lstStyle/>
            <a:p>
              <a:pPr>
                <a:defRPr sz="1000" b="1" i="0" u="none" strike="noStrike" kern="1200" baseline="0">
                  <a:solidFill>
                    <a:schemeClr val="tx1"/>
                  </a:solidFill>
                  <a:latin typeface="+mn-lt"/>
                  <a:ea typeface="+mn-ea"/>
                  <a:cs typeface="+mn-cs"/>
                </a:defRPr>
              </a:pPr>
              <a:endParaRPr lang="LID4096"/>
            </a:p>
          </c:txPr>
        </c:title>
        <c:numFmt formatCode="#,##0" sourceLinked="1"/>
        <c:majorTickMark val="none"/>
        <c:minorTickMark val="none"/>
        <c:tickLblPos val="nextTo"/>
        <c:crossAx val="561259856"/>
        <c:crosses val="autoZero"/>
        <c:crossBetween val="between"/>
      </c:valAx>
      <c:spPr>
        <a:solidFill>
          <a:schemeClr val="bg1"/>
        </a:solidFill>
        <a:ln>
          <a:noFill/>
        </a:ln>
        <a:effectLst/>
      </c:spPr>
    </c:plotArea>
    <c:legend>
      <c:legendPos val="b"/>
      <c:layout>
        <c:manualLayout>
          <c:xMode val="edge"/>
          <c:yMode val="edge"/>
          <c:x val="0.11457438442762748"/>
          <c:y val="0.9011983040581466"/>
          <c:w val="0.84867224281789677"/>
        </c:manualLayout>
      </c:layout>
      <c:overlay val="0"/>
      <c:spPr>
        <a:noFill/>
        <a:ln>
          <a:noFill/>
        </a:ln>
        <a:effectLst/>
      </c:spPr>
      <c:txPr>
        <a:bodyPr rot="0" spcFirstLastPara="1" vertOverflow="ellipsis" vert="horz" wrap="square" rtlCol="0" anchor="ctr" anchorCtr="1"/>
        <a:lstStyle/>
        <a:p>
          <a:pPr>
            <a:defRPr sz="1000" b="0" i="0" u="none" strike="noStrike" kern="1200" baseline="0">
              <a:solidFill>
                <a:schemeClr val="tx1"/>
              </a:solidFill>
              <a:latin typeface="+mn-lt"/>
              <a:ea typeface="+mn-ea"/>
              <a:cs typeface="+mn-cs"/>
            </a:defRPr>
          </a:pPr>
          <a:endParaRPr lang="LID4096"/>
        </a:p>
      </c:txPr>
    </c:legend>
    <c:plotVisOnly val="1"/>
    <c:dispBlanksAs val="gap"/>
    <c:showDLblsOverMax val="0"/>
    <c:extLst/>
  </c:chart>
  <c:spPr>
    <a:solidFill>
      <a:schemeClr val="bg1"/>
    </a:solidFill>
    <a:ln w="6350" cap="flat" cmpd="sng" algn="ctr">
      <a:solidFill>
        <a:schemeClr val="tx1">
          <a:tint val="75000"/>
        </a:schemeClr>
      </a:solidFill>
      <a:prstDash val="solid"/>
      <a:round/>
    </a:ln>
    <a:effectLst/>
  </c:spPr>
  <c:txPr>
    <a:bodyPr rtlCol="0"/>
    <a:lstStyle/>
    <a:p>
      <a:pPr>
        <a:defRPr/>
      </a:pPr>
      <a:endParaRPr lang="LID4096"/>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9"/>
          <c:order val="0"/>
          <c:tx>
            <c:v>Manaul Testing</c:v>
          </c:tx>
          <c:spPr>
            <a:ln w="19050" cap="rnd" cmpd="sng" algn="ctr">
              <a:solidFill>
                <a:schemeClr val="accent1">
                  <a:lumMod val="75000"/>
                </a:schemeClr>
              </a:solidFill>
              <a:prstDash val="solid"/>
              <a:round/>
            </a:ln>
            <a:effectLst/>
          </c:spPr>
          <c:marker>
            <c:symbol val="none"/>
          </c:marker>
          <c:val>
            <c:numRef>
              <c:f>Simulation!$K$7:$K$33</c:f>
              <c:numCache>
                <c:formatCode>#,##0</c:formatCode>
                <c:ptCount val="27"/>
                <c:pt idx="0">
                  <c:v>300</c:v>
                </c:pt>
                <c:pt idx="1">
                  <c:v>900</c:v>
                </c:pt>
                <c:pt idx="2">
                  <c:v>1800</c:v>
                </c:pt>
                <c:pt idx="3">
                  <c:v>3000</c:v>
                </c:pt>
                <c:pt idx="4">
                  <c:v>4500</c:v>
                </c:pt>
                <c:pt idx="5">
                  <c:v>6300</c:v>
                </c:pt>
                <c:pt idx="6">
                  <c:v>8400</c:v>
                </c:pt>
                <c:pt idx="7">
                  <c:v>10800</c:v>
                </c:pt>
                <c:pt idx="8">
                  <c:v>13500</c:v>
                </c:pt>
                <c:pt idx="9">
                  <c:v>16500</c:v>
                </c:pt>
                <c:pt idx="10">
                  <c:v>19800</c:v>
                </c:pt>
                <c:pt idx="11">
                  <c:v>23400</c:v>
                </c:pt>
                <c:pt idx="12">
                  <c:v>27300</c:v>
                </c:pt>
                <c:pt idx="13">
                  <c:v>31500</c:v>
                </c:pt>
                <c:pt idx="14">
                  <c:v>36000</c:v>
                </c:pt>
                <c:pt idx="15">
                  <c:v>40800</c:v>
                </c:pt>
                <c:pt idx="16">
                  <c:v>45900</c:v>
                </c:pt>
                <c:pt idx="17">
                  <c:v>51300</c:v>
                </c:pt>
                <c:pt idx="18">
                  <c:v>57000</c:v>
                </c:pt>
                <c:pt idx="19">
                  <c:v>63000</c:v>
                </c:pt>
                <c:pt idx="20">
                  <c:v>69300</c:v>
                </c:pt>
                <c:pt idx="21">
                  <c:v>75900</c:v>
                </c:pt>
                <c:pt idx="22">
                  <c:v>82800</c:v>
                </c:pt>
                <c:pt idx="23">
                  <c:v>90000</c:v>
                </c:pt>
                <c:pt idx="24">
                  <c:v>97500</c:v>
                </c:pt>
                <c:pt idx="25">
                  <c:v>105300</c:v>
                </c:pt>
                <c:pt idx="26">
                  <c:v>113400</c:v>
                </c:pt>
              </c:numCache>
            </c:numRef>
          </c:val>
          <c:smooth val="0"/>
          <c:extLst>
            <c:ext xmlns:c16="http://schemas.microsoft.com/office/drawing/2014/chart" uri="{C3380CC4-5D6E-409C-BE32-E72D297353CC}">
              <c16:uniqueId val="{00000000-D1FD-4A49-8388-F63BBE69E0AF}"/>
            </c:ext>
          </c:extLst>
        </c:ser>
        <c:ser>
          <c:idx val="10"/>
          <c:order val="1"/>
          <c:tx>
            <c:v>Automated Testing with BiG EVAL</c:v>
          </c:tx>
          <c:spPr>
            <a:ln w="19050" cap="rnd" cmpd="sng" algn="ctr">
              <a:solidFill>
                <a:srgbClr val="EF5028"/>
              </a:solidFill>
              <a:prstDash val="solid"/>
              <a:round/>
            </a:ln>
            <a:effectLst/>
          </c:spPr>
          <c:marker>
            <c:symbol val="none"/>
          </c:marker>
          <c:val>
            <c:numRef>
              <c:f>Simulation!$X$7:$X$33</c:f>
              <c:numCache>
                <c:formatCode>#,##0</c:formatCode>
                <c:ptCount val="27"/>
                <c:pt idx="0">
                  <c:v>300</c:v>
                </c:pt>
                <c:pt idx="1">
                  <c:v>600</c:v>
                </c:pt>
                <c:pt idx="2">
                  <c:v>900</c:v>
                </c:pt>
                <c:pt idx="3">
                  <c:v>1200</c:v>
                </c:pt>
                <c:pt idx="4">
                  <c:v>1500</c:v>
                </c:pt>
                <c:pt idx="5">
                  <c:v>1800</c:v>
                </c:pt>
                <c:pt idx="6">
                  <c:v>2100</c:v>
                </c:pt>
                <c:pt idx="7">
                  <c:v>2400</c:v>
                </c:pt>
                <c:pt idx="8">
                  <c:v>2700</c:v>
                </c:pt>
                <c:pt idx="9">
                  <c:v>3000</c:v>
                </c:pt>
                <c:pt idx="10">
                  <c:v>3300</c:v>
                </c:pt>
                <c:pt idx="11">
                  <c:v>3600</c:v>
                </c:pt>
                <c:pt idx="12">
                  <c:v>3900</c:v>
                </c:pt>
                <c:pt idx="13">
                  <c:v>4200</c:v>
                </c:pt>
                <c:pt idx="14">
                  <c:v>4500</c:v>
                </c:pt>
                <c:pt idx="15">
                  <c:v>4800</c:v>
                </c:pt>
                <c:pt idx="16">
                  <c:v>5100</c:v>
                </c:pt>
                <c:pt idx="17">
                  <c:v>5400</c:v>
                </c:pt>
                <c:pt idx="18">
                  <c:v>5700</c:v>
                </c:pt>
                <c:pt idx="19">
                  <c:v>6000</c:v>
                </c:pt>
                <c:pt idx="20">
                  <c:v>6300</c:v>
                </c:pt>
                <c:pt idx="21">
                  <c:v>6600</c:v>
                </c:pt>
                <c:pt idx="22">
                  <c:v>6900</c:v>
                </c:pt>
                <c:pt idx="23">
                  <c:v>7200</c:v>
                </c:pt>
                <c:pt idx="24">
                  <c:v>7500</c:v>
                </c:pt>
                <c:pt idx="25">
                  <c:v>7800</c:v>
                </c:pt>
                <c:pt idx="26">
                  <c:v>8100</c:v>
                </c:pt>
              </c:numCache>
            </c:numRef>
          </c:val>
          <c:smooth val="0"/>
          <c:extLst>
            <c:ext xmlns:c16="http://schemas.microsoft.com/office/drawing/2014/chart" uri="{C3380CC4-5D6E-409C-BE32-E72D297353CC}">
              <c16:uniqueId val="{00000001-D1FD-4A49-8388-F63BBE69E0AF}"/>
            </c:ext>
          </c:extLst>
        </c:ser>
        <c:dLbls>
          <c:showLegendKey val="0"/>
          <c:showVal val="0"/>
          <c:showCatName val="0"/>
          <c:showSerName val="0"/>
          <c:showPercent val="0"/>
          <c:showBubbleSize val="0"/>
        </c:dLbls>
        <c:smooth val="0"/>
        <c:axId val="561259856"/>
        <c:axId val="561255264"/>
      </c:lineChart>
      <c:catAx>
        <c:axId val="561259856"/>
        <c:scaling>
          <c:orientation val="minMax"/>
        </c:scaling>
        <c:delete val="0"/>
        <c:axPos val="b"/>
        <c:title>
          <c:tx>
            <c:rich>
              <a:bodyPr rot="0" spcFirstLastPara="1" vertOverflow="ellipsis" vert="horz" wrap="square" rtlCol="0" anchor="ctr" anchorCtr="1"/>
              <a:lstStyle/>
              <a:p>
                <a:pPr>
                  <a:defRPr sz="1000" b="1" i="0" u="none" strike="noStrike" kern="1200" baseline="0">
                    <a:solidFill>
                      <a:schemeClr val="tx1"/>
                    </a:solidFill>
                    <a:latin typeface="+mn-lt"/>
                    <a:ea typeface="+mn-ea"/>
                    <a:cs typeface="+mn-cs"/>
                  </a:defRPr>
                </a:pPr>
                <a:r>
                  <a:rPr lang="de-CH"/>
                  <a:t>Iteration</a:t>
                </a:r>
              </a:p>
            </c:rich>
          </c:tx>
          <c:overlay val="0"/>
          <c:spPr>
            <a:noFill/>
            <a:ln>
              <a:noFill/>
            </a:ln>
            <a:effectLst/>
          </c:spPr>
          <c:txPr>
            <a:bodyPr rot="0" spcFirstLastPara="1" vertOverflow="ellipsis" vert="horz" wrap="square" rtlCol="0" anchor="ctr" anchorCtr="1"/>
            <a:lstStyle/>
            <a:p>
              <a:pPr>
                <a:defRPr sz="1000" b="1" i="0" u="none" strike="noStrike" kern="1200" baseline="0">
                  <a:solidFill>
                    <a:schemeClr val="tx1"/>
                  </a:solidFill>
                  <a:latin typeface="+mn-lt"/>
                  <a:ea typeface="+mn-ea"/>
                  <a:cs typeface="+mn-cs"/>
                </a:defRPr>
              </a:pPr>
              <a:endParaRPr lang="LID4096"/>
            </a:p>
          </c:txPr>
        </c:title>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rtlCol="0"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561255264"/>
        <c:crosses val="autoZero"/>
        <c:auto val="1"/>
        <c:lblAlgn val="ctr"/>
        <c:lblOffset val="100"/>
        <c:noMultiLvlLbl val="0"/>
      </c:catAx>
      <c:valAx>
        <c:axId val="561255264"/>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rtlCol="0" anchor="ctr" anchorCtr="1"/>
              <a:lstStyle/>
              <a:p>
                <a:pPr>
                  <a:defRPr sz="1000" b="1" i="0" u="none" strike="noStrike" kern="1200" baseline="0">
                    <a:solidFill>
                      <a:schemeClr val="tx1"/>
                    </a:solidFill>
                    <a:latin typeface="+mn-lt"/>
                    <a:ea typeface="+mn-ea"/>
                    <a:cs typeface="+mn-cs"/>
                  </a:defRPr>
                </a:pPr>
                <a:r>
                  <a:rPr lang="de-CH"/>
                  <a:t>Kosten [€]</a:t>
                </a:r>
              </a:p>
            </c:rich>
          </c:tx>
          <c:overlay val="0"/>
          <c:spPr>
            <a:noFill/>
            <a:ln>
              <a:noFill/>
            </a:ln>
            <a:effectLst/>
          </c:spPr>
          <c:txPr>
            <a:bodyPr rot="-5400000" spcFirstLastPara="1" vertOverflow="ellipsis" vert="horz" wrap="square" rtlCol="0" anchor="ctr" anchorCtr="1"/>
            <a:lstStyle/>
            <a:p>
              <a:pPr>
                <a:defRPr sz="1000" b="1" i="0" u="none" strike="noStrike" kern="1200" baseline="0">
                  <a:solidFill>
                    <a:schemeClr val="tx1"/>
                  </a:solidFill>
                  <a:latin typeface="+mn-lt"/>
                  <a:ea typeface="+mn-ea"/>
                  <a:cs typeface="+mn-cs"/>
                </a:defRPr>
              </a:pPr>
              <a:endParaRPr lang="LID4096"/>
            </a:p>
          </c:txPr>
        </c:title>
        <c:numFmt formatCode="#,##0" sourceLinked="1"/>
        <c:majorTickMark val="none"/>
        <c:minorTickMark val="none"/>
        <c:tickLblPos val="nextTo"/>
        <c:spPr>
          <a:noFill/>
          <a:ln w="6350" cap="flat" cmpd="sng" algn="ctr">
            <a:noFill/>
            <a:prstDash val="solid"/>
            <a:round/>
          </a:ln>
          <a:effectLst/>
        </c:spPr>
        <c:txPr>
          <a:bodyPr rot="-60000000" spcFirstLastPara="1" vertOverflow="ellipsis" vert="horz" wrap="square" rtlCol="0" anchor="ctr" anchorCtr="1"/>
          <a:lstStyle/>
          <a:p>
            <a:pPr>
              <a:defRPr sz="900" b="0" i="0" u="none" strike="noStrike" kern="1200" baseline="0">
                <a:solidFill>
                  <a:schemeClr val="tx1">
                    <a:lumMod val="65000"/>
                    <a:lumOff val="35000"/>
                  </a:schemeClr>
                </a:solidFill>
                <a:latin typeface="+mn-lt"/>
                <a:ea typeface="+mn-ea"/>
                <a:cs typeface="+mn-cs"/>
              </a:defRPr>
            </a:pPr>
            <a:endParaRPr lang="LID4096"/>
          </a:p>
        </c:txPr>
        <c:crossAx val="561259856"/>
        <c:crosses val="autoZero"/>
        <c:crossBetween val="between"/>
      </c:valAx>
      <c:spPr>
        <a:solidFill>
          <a:schemeClr val="bg1"/>
        </a:solidFill>
        <a:ln>
          <a:noFill/>
        </a:ln>
        <a:effectLst/>
      </c:spPr>
    </c:plotArea>
    <c:legend>
      <c:legendPos val="b"/>
      <c:layout>
        <c:manualLayout>
          <c:xMode val="edge"/>
          <c:yMode val="edge"/>
          <c:x val="0.17303491574880681"/>
          <c:y val="0.90150140846612614"/>
          <c:w val="0.75779254022826825"/>
        </c:manualLayout>
      </c:layout>
      <c:overlay val="0"/>
      <c:spPr>
        <a:noFill/>
        <a:ln>
          <a:noFill/>
        </a:ln>
        <a:effectLst/>
      </c:spPr>
      <c:txPr>
        <a:bodyPr rot="0" spcFirstLastPara="1" vertOverflow="ellipsis" vert="horz" wrap="square" rtlCol="0" anchor="ctr" anchorCtr="1"/>
        <a:lstStyle/>
        <a:p>
          <a:pPr>
            <a:defRPr sz="1000" b="0" i="0" u="none" strike="noStrike" kern="1200" baseline="0">
              <a:solidFill>
                <a:schemeClr val="tx1"/>
              </a:solidFill>
              <a:latin typeface="+mn-lt"/>
              <a:ea typeface="+mn-ea"/>
              <a:cs typeface="+mn-cs"/>
            </a:defRPr>
          </a:pPr>
          <a:endParaRPr lang="LID4096"/>
        </a:p>
      </c:txPr>
    </c:legend>
    <c:plotVisOnly val="1"/>
    <c:dispBlanksAs val="gap"/>
    <c:showDLblsOverMax val="0"/>
    <c:extLst/>
  </c:chart>
  <c:spPr>
    <a:solidFill>
      <a:schemeClr val="bg1"/>
    </a:solidFill>
    <a:ln w="6350" cap="flat" cmpd="sng" algn="ctr">
      <a:solidFill>
        <a:schemeClr val="tx1">
          <a:tint val="75000"/>
        </a:schemeClr>
      </a:solidFill>
      <a:prstDash val="solid"/>
      <a:round/>
    </a:ln>
    <a:effectLst/>
  </c:spPr>
  <c:txPr>
    <a:bodyPr rtlCol="0"/>
    <a:lstStyle/>
    <a:p>
      <a:pPr>
        <a:defRPr/>
      </a:pPr>
      <a:endParaRPr lang="LID4096"/>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90489</xdr:colOff>
      <xdr:row>0</xdr:row>
      <xdr:rowOff>76200</xdr:rowOff>
    </xdr:from>
    <xdr:to>
      <xdr:col>0</xdr:col>
      <xdr:colOff>1824039</xdr:colOff>
      <xdr:row>0</xdr:row>
      <xdr:rowOff>617406</xdr:rowOff>
    </xdr:to>
    <xdr:pic>
      <xdr:nvPicPr>
        <xdr:cNvPr id="3" name="Picture 2">
          <a:extLst>
            <a:ext uri="{FF2B5EF4-FFF2-40B4-BE49-F238E27FC236}">
              <a16:creationId xmlns:a16="http://schemas.microsoft.com/office/drawing/2014/main" id="{85C309ED-1C65-A456-4015-C91DF815A9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9" y="76200"/>
          <a:ext cx="1733550" cy="541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52388</xdr:colOff>
      <xdr:row>25</xdr:row>
      <xdr:rowOff>47625</xdr:rowOff>
    </xdr:from>
    <xdr:to>
      <xdr:col>0</xdr:col>
      <xdr:colOff>1785938</xdr:colOff>
      <xdr:row>27</xdr:row>
      <xdr:rowOff>150681</xdr:rowOff>
    </xdr:to>
    <xdr:pic>
      <xdr:nvPicPr>
        <xdr:cNvPr id="2" name="Picture 1">
          <a:extLst>
            <a:ext uri="{FF2B5EF4-FFF2-40B4-BE49-F238E27FC236}">
              <a16:creationId xmlns:a16="http://schemas.microsoft.com/office/drawing/2014/main" id="{08F47B57-D2D3-47C4-B0DF-E1536897D4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8" y="5557838"/>
          <a:ext cx="1733550" cy="5412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257175</xdr:colOff>
      <xdr:row>0</xdr:row>
      <xdr:rowOff>228600</xdr:rowOff>
    </xdr:from>
    <xdr:to>
      <xdr:col>9</xdr:col>
      <xdr:colOff>466725</xdr:colOff>
      <xdr:row>12</xdr:row>
      <xdr:rowOff>9526</xdr:rowOff>
    </xdr:to>
    <xdr:graphicFrame macro="">
      <xdr:nvGraphicFramePr>
        <xdr:cNvPr id="2" name="Diagramm 2">
          <a:extLst>
            <a:ext uri="{FF2B5EF4-FFF2-40B4-BE49-F238E27FC236}">
              <a16:creationId xmlns:a16="http://schemas.microsoft.com/office/drawing/2014/main" id="{BF32F8C0-9F2D-4231-9F1E-E831010F3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257175</xdr:colOff>
      <xdr:row>12</xdr:row>
      <xdr:rowOff>114300</xdr:rowOff>
    </xdr:from>
    <xdr:to>
      <xdr:col>9</xdr:col>
      <xdr:colOff>495299</xdr:colOff>
      <xdr:row>25</xdr:row>
      <xdr:rowOff>71438</xdr:rowOff>
    </xdr:to>
    <xdr:graphicFrame macro="">
      <xdr:nvGraphicFramePr>
        <xdr:cNvPr id="3" name="Diagramm 1">
          <a:extLst>
            <a:ext uri="{FF2B5EF4-FFF2-40B4-BE49-F238E27FC236}">
              <a16:creationId xmlns:a16="http://schemas.microsoft.com/office/drawing/2014/main" id="{F6AD3582-6817-445D-AE97-6D7751BE2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176213</xdr:colOff>
      <xdr:row>19</xdr:row>
      <xdr:rowOff>109538</xdr:rowOff>
    </xdr:from>
    <xdr:to>
      <xdr:col>0</xdr:col>
      <xdr:colOff>1909763</xdr:colOff>
      <xdr:row>22</xdr:row>
      <xdr:rowOff>69719</xdr:rowOff>
    </xdr:to>
    <xdr:pic>
      <xdr:nvPicPr>
        <xdr:cNvPr id="4" name="Picture 3">
          <a:extLst>
            <a:ext uri="{FF2B5EF4-FFF2-40B4-BE49-F238E27FC236}">
              <a16:creationId xmlns:a16="http://schemas.microsoft.com/office/drawing/2014/main" id="{1874BCF4-B0CF-40FB-9F79-BAA4F437ADA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6213" y="4752976"/>
          <a:ext cx="1733550" cy="5412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52</xdr:row>
      <xdr:rowOff>180975</xdr:rowOff>
    </xdr:from>
    <xdr:to>
      <xdr:col>13</xdr:col>
      <xdr:colOff>1238250</xdr:colOff>
      <xdr:row>70</xdr:row>
      <xdr:rowOff>19050</xdr:rowOff>
    </xdr:to>
    <xdr:graphicFrame macro="">
      <xdr:nvGraphicFramePr>
        <xdr:cNvPr id="5" name="Diagramm 4">
          <a:extLst>
            <a:ext uri="{FF2B5EF4-FFF2-40B4-BE49-F238E27FC236}">
              <a16:creationId xmlns:a16="http://schemas.microsoft.com/office/drawing/2014/main" id="{4835A59E-92C7-441A-8EF9-C054AB1C96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53</xdr:row>
      <xdr:rowOff>76199</xdr:rowOff>
    </xdr:from>
    <xdr:to>
      <xdr:col>26</xdr:col>
      <xdr:colOff>219075</xdr:colOff>
      <xdr:row>70</xdr:row>
      <xdr:rowOff>104775</xdr:rowOff>
    </xdr:to>
    <xdr:graphicFrame macro="">
      <xdr:nvGraphicFramePr>
        <xdr:cNvPr id="6" name="Diagramm 5">
          <a:extLst>
            <a:ext uri="{FF2B5EF4-FFF2-40B4-BE49-F238E27FC236}">
              <a16:creationId xmlns:a16="http://schemas.microsoft.com/office/drawing/2014/main" id="{F15AA974-370D-485E-9FAC-B965B499A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1100137</xdr:colOff>
      <xdr:row>0</xdr:row>
      <xdr:rowOff>166687</xdr:rowOff>
    </xdr:from>
    <xdr:to>
      <xdr:col>13</xdr:col>
      <xdr:colOff>528637</xdr:colOff>
      <xdr:row>1</xdr:row>
      <xdr:rowOff>417380</xdr:rowOff>
    </xdr:to>
    <xdr:pic>
      <xdr:nvPicPr>
        <xdr:cNvPr id="2" name="Picture 1">
          <a:extLst>
            <a:ext uri="{FF2B5EF4-FFF2-40B4-BE49-F238E27FC236}">
              <a16:creationId xmlns:a16="http://schemas.microsoft.com/office/drawing/2014/main" id="{80944E7C-AF55-4194-99A1-6E1182E4B67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15387" y="166687"/>
          <a:ext cx="1733550" cy="5412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1B9D9-F77B-4020-90F0-65A2710C3356}">
  <dimension ref="A1:A13"/>
  <sheetViews>
    <sheetView showGridLines="0" tabSelected="1" workbookViewId="0"/>
  </sheetViews>
  <sheetFormatPr defaultRowHeight="14.25" x14ac:dyDescent="0.45"/>
  <cols>
    <col min="1" max="1" width="74.1328125" style="19" customWidth="1"/>
  </cols>
  <sheetData>
    <row r="1" spans="1:1" ht="64.5" customHeight="1" x14ac:dyDescent="0.45"/>
    <row r="2" spans="1:1" ht="23.25" x14ac:dyDescent="0.7">
      <c r="A2" s="22" t="s">
        <v>70</v>
      </c>
    </row>
    <row r="3" spans="1:1" ht="71.25" x14ac:dyDescent="0.45">
      <c r="A3" s="19" t="s">
        <v>89</v>
      </c>
    </row>
    <row r="4" spans="1:1" ht="28.5" x14ac:dyDescent="0.45">
      <c r="A4" s="19" t="s">
        <v>25</v>
      </c>
    </row>
    <row r="6" spans="1:1" ht="18" x14ac:dyDescent="0.55000000000000004">
      <c r="A6" s="42" t="s">
        <v>72</v>
      </c>
    </row>
    <row r="7" spans="1:1" ht="42.75" x14ac:dyDescent="0.45">
      <c r="A7" s="20" t="s">
        <v>39</v>
      </c>
    </row>
    <row r="8" spans="1:1" ht="42.75" x14ac:dyDescent="0.45">
      <c r="A8" s="20" t="s">
        <v>65</v>
      </c>
    </row>
    <row r="10" spans="1:1" ht="18" x14ac:dyDescent="0.55000000000000004">
      <c r="A10" s="42" t="s">
        <v>71</v>
      </c>
    </row>
    <row r="11" spans="1:1" ht="114" x14ac:dyDescent="0.45">
      <c r="A11" s="20" t="s">
        <v>21</v>
      </c>
    </row>
    <row r="12" spans="1:1" ht="42.75" x14ac:dyDescent="0.45">
      <c r="A12" s="20" t="s">
        <v>23</v>
      </c>
    </row>
    <row r="13" spans="1:1" x14ac:dyDescent="0.45">
      <c r="A13" s="20" t="s">
        <v>24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showGridLines="0" workbookViewId="0">
      <selection activeCell="E6" sqref="E6"/>
    </sheetView>
  </sheetViews>
  <sheetFormatPr defaultColWidth="11.3984375" defaultRowHeight="13.9" x14ac:dyDescent="0.4"/>
  <cols>
    <col min="1" max="1" width="55.265625" style="48" bestFit="1" customWidth="1"/>
    <col min="2" max="2" width="12.3984375" style="51" customWidth="1"/>
    <col min="3" max="3" width="3.73046875" style="48" customWidth="1"/>
    <col min="4" max="4" width="57.3984375" style="48" bestFit="1" customWidth="1"/>
    <col min="5" max="5" width="11.3984375" style="51"/>
    <col min="6" max="6" width="3.86328125" style="48" customWidth="1"/>
    <col min="7" max="7" width="55.86328125" style="49" bestFit="1" customWidth="1"/>
    <col min="8" max="8" width="18.1328125" style="50" customWidth="1"/>
    <col min="9" max="16384" width="11.3984375" style="48"/>
  </cols>
  <sheetData>
    <row r="1" spans="1:8" ht="22.9" x14ac:dyDescent="0.4">
      <c r="A1" s="65" t="s">
        <v>18</v>
      </c>
      <c r="B1" s="65"/>
      <c r="D1" s="65" t="s">
        <v>17</v>
      </c>
      <c r="E1" s="65"/>
      <c r="G1" s="65" t="s">
        <v>19</v>
      </c>
      <c r="H1" s="65"/>
    </row>
    <row r="2" spans="1:8" x14ac:dyDescent="0.4">
      <c r="A2" s="49"/>
      <c r="B2" s="50"/>
    </row>
    <row r="3" spans="1:8" ht="17.649999999999999" x14ac:dyDescent="0.4">
      <c r="A3" s="52" t="s">
        <v>3</v>
      </c>
      <c r="B3" s="53"/>
      <c r="D3" s="52" t="s">
        <v>13</v>
      </c>
      <c r="E3" s="53"/>
      <c r="G3" s="54" t="s">
        <v>49</v>
      </c>
      <c r="H3" s="55"/>
    </row>
    <row r="4" spans="1:8" ht="17.25" customHeight="1" x14ac:dyDescent="0.4">
      <c r="A4" s="21" t="s">
        <v>4</v>
      </c>
      <c r="B4" s="45">
        <v>2</v>
      </c>
      <c r="D4" s="21" t="s">
        <v>22</v>
      </c>
      <c r="E4" s="45">
        <v>40</v>
      </c>
      <c r="G4" s="21" t="s">
        <v>59</v>
      </c>
      <c r="H4" s="46" t="s">
        <v>26</v>
      </c>
    </row>
    <row r="5" spans="1:8" ht="17.25" customHeight="1" x14ac:dyDescent="0.4">
      <c r="A5" s="21" t="s">
        <v>5</v>
      </c>
      <c r="B5" s="45">
        <v>9</v>
      </c>
      <c r="D5" s="21" t="s">
        <v>15</v>
      </c>
      <c r="E5" s="45">
        <v>15</v>
      </c>
      <c r="G5" s="21" t="s">
        <v>60</v>
      </c>
      <c r="H5" s="45">
        <f>Headcount</f>
        <v>3</v>
      </c>
    </row>
    <row r="6" spans="1:8" ht="17.25" customHeight="1" x14ac:dyDescent="0.4">
      <c r="A6" s="21" t="s">
        <v>7</v>
      </c>
      <c r="B6" s="45">
        <v>2</v>
      </c>
      <c r="D6" s="21" t="s">
        <v>14</v>
      </c>
      <c r="E6" s="45">
        <v>15</v>
      </c>
      <c r="G6" s="21" t="s">
        <v>79</v>
      </c>
      <c r="H6" s="47">
        <v>5500</v>
      </c>
    </row>
    <row r="7" spans="1:8" ht="17.25" customHeight="1" x14ac:dyDescent="0.4">
      <c r="A7" s="21" t="s">
        <v>6</v>
      </c>
      <c r="B7" s="57">
        <f>B4*B5</f>
        <v>18</v>
      </c>
      <c r="D7" s="49"/>
      <c r="E7" s="50"/>
      <c r="G7" s="21" t="s">
        <v>80</v>
      </c>
      <c r="H7" s="56">
        <f>H5*H6</f>
        <v>16500</v>
      </c>
    </row>
    <row r="8" spans="1:8" ht="17.25" customHeight="1" x14ac:dyDescent="0.4">
      <c r="A8" s="21" t="s">
        <v>16</v>
      </c>
      <c r="B8" s="57">
        <f>B7*DurationOfIteration</f>
        <v>36</v>
      </c>
      <c r="G8" s="21" t="s">
        <v>81</v>
      </c>
      <c r="H8" s="56">
        <f>H7/52</f>
        <v>317.30769230769232</v>
      </c>
    </row>
    <row r="9" spans="1:8" ht="17.25" customHeight="1" x14ac:dyDescent="0.4">
      <c r="E9" s="48"/>
    </row>
    <row r="10" spans="1:8" ht="17.25" customHeight="1" x14ac:dyDescent="0.4">
      <c r="A10" s="52" t="s">
        <v>66</v>
      </c>
      <c r="B10" s="53"/>
      <c r="E10" s="48"/>
      <c r="G10" s="54" t="s">
        <v>50</v>
      </c>
      <c r="H10" s="55" t="s">
        <v>20</v>
      </c>
    </row>
    <row r="11" spans="1:8" ht="17.25" customHeight="1" x14ac:dyDescent="0.4">
      <c r="A11" s="21" t="s">
        <v>56</v>
      </c>
      <c r="B11" s="47">
        <v>2</v>
      </c>
      <c r="E11" s="48"/>
      <c r="G11" s="21" t="s">
        <v>82</v>
      </c>
      <c r="H11" s="47">
        <v>1200</v>
      </c>
    </row>
    <row r="12" spans="1:8" ht="17.25" customHeight="1" x14ac:dyDescent="0.4">
      <c r="A12" s="21" t="s">
        <v>57</v>
      </c>
      <c r="B12" s="47">
        <v>1</v>
      </c>
      <c r="E12" s="48"/>
      <c r="G12" s="21" t="s">
        <v>83</v>
      </c>
      <c r="H12" s="56">
        <f>HardwareCostsYearly/52</f>
        <v>23.076923076923077</v>
      </c>
    </row>
    <row r="13" spans="1:8" ht="17.25" customHeight="1" x14ac:dyDescent="0.4">
      <c r="A13" s="21" t="s">
        <v>58</v>
      </c>
      <c r="B13" s="56">
        <f>SUM(B11:B12)</f>
        <v>3</v>
      </c>
      <c r="D13" s="49"/>
      <c r="E13" s="50"/>
      <c r="H13" s="58"/>
    </row>
    <row r="14" spans="1:8" ht="17.25" customHeight="1" x14ac:dyDescent="0.4">
      <c r="A14" s="21" t="s">
        <v>64</v>
      </c>
      <c r="B14" s="47">
        <f>NumberTotalFte</f>
        <v>3</v>
      </c>
      <c r="E14" s="48"/>
      <c r="G14" s="54" t="s">
        <v>48</v>
      </c>
      <c r="H14" s="55"/>
    </row>
    <row r="15" spans="1:8" ht="17.25" customHeight="1" x14ac:dyDescent="0.4">
      <c r="E15" s="48"/>
      <c r="G15" s="21" t="s">
        <v>69</v>
      </c>
      <c r="H15" s="47">
        <v>16</v>
      </c>
    </row>
    <row r="16" spans="1:8" ht="17.25" customHeight="1" x14ac:dyDescent="0.4">
      <c r="A16" s="52" t="s">
        <v>67</v>
      </c>
      <c r="B16" s="59"/>
      <c r="E16" s="48"/>
      <c r="G16" s="21" t="s">
        <v>68</v>
      </c>
      <c r="H16" s="56">
        <f>TrainingEffortPerHeadAndYear/52</f>
        <v>0.30769230769230771</v>
      </c>
    </row>
    <row r="17" spans="1:8" ht="17.25" customHeight="1" x14ac:dyDescent="0.4">
      <c r="A17" s="21" t="s">
        <v>84</v>
      </c>
      <c r="B17" s="47">
        <v>45</v>
      </c>
      <c r="E17" s="48"/>
    </row>
    <row r="18" spans="1:8" ht="17.25" customHeight="1" x14ac:dyDescent="0.4">
      <c r="A18" s="21" t="s">
        <v>85</v>
      </c>
      <c r="B18" s="47">
        <v>110</v>
      </c>
    </row>
    <row r="19" spans="1:8" ht="17.25" customHeight="1" x14ac:dyDescent="0.4">
      <c r="A19" s="21" t="s">
        <v>86</v>
      </c>
      <c r="B19" s="56">
        <f>((RateInternalFte*NumberInternalFte)+(RateExternalFte*NumberExternalFte))/NumberTotalFte</f>
        <v>66.666666666666671</v>
      </c>
      <c r="E19" s="48"/>
    </row>
    <row r="20" spans="1:8" ht="17.25" customHeight="1" x14ac:dyDescent="0.4">
      <c r="E20" s="48"/>
    </row>
    <row r="21" spans="1:8" ht="17.25" customHeight="1" x14ac:dyDescent="0.4">
      <c r="A21" s="52" t="s">
        <v>44</v>
      </c>
      <c r="B21" s="59"/>
      <c r="E21" s="48"/>
    </row>
    <row r="22" spans="1:8" s="60" customFormat="1" ht="17.25" customHeight="1" x14ac:dyDescent="0.45">
      <c r="A22" s="21" t="s">
        <v>61</v>
      </c>
      <c r="B22" s="45">
        <v>5</v>
      </c>
      <c r="H22" s="61"/>
    </row>
    <row r="23" spans="1:8" ht="17.25" customHeight="1" x14ac:dyDescent="0.4">
      <c r="A23" s="21" t="s">
        <v>62</v>
      </c>
      <c r="B23" s="45">
        <v>8</v>
      </c>
    </row>
    <row r="24" spans="1:8" ht="17.25" customHeight="1" x14ac:dyDescent="0.4">
      <c r="A24" s="21" t="s">
        <v>63</v>
      </c>
      <c r="B24" s="57">
        <f>DurationOfIteration*WorkdaysPerWeek*WorkingHoursPerFte</f>
        <v>80</v>
      </c>
    </row>
    <row r="25" spans="1:8" ht="17.25" customHeight="1" x14ac:dyDescent="0.4"/>
    <row r="26" spans="1:8" ht="17.25" customHeight="1" x14ac:dyDescent="0.4"/>
    <row r="27" spans="1:8" ht="17.25" customHeight="1" x14ac:dyDescent="0.4"/>
    <row r="28" spans="1:8" ht="17.25" customHeight="1" x14ac:dyDescent="0.4"/>
    <row r="29" spans="1:8" ht="17.25" customHeight="1" x14ac:dyDescent="0.4"/>
    <row r="30" spans="1:8" ht="17.25" customHeight="1" x14ac:dyDescent="0.4"/>
    <row r="31" spans="1:8" ht="17.25" customHeight="1" x14ac:dyDescent="0.4"/>
    <row r="32" spans="1:8" ht="17.25" customHeight="1" x14ac:dyDescent="0.4"/>
    <row r="33" ht="17.25" customHeight="1" x14ac:dyDescent="0.4"/>
    <row r="34" ht="17.25" customHeight="1" x14ac:dyDescent="0.4"/>
    <row r="35" ht="17.25" customHeight="1" x14ac:dyDescent="0.4"/>
    <row r="36" ht="17.25" customHeight="1" x14ac:dyDescent="0.4"/>
    <row r="54" spans="2:8" s="63" customFormat="1" x14ac:dyDescent="0.4">
      <c r="B54" s="62"/>
      <c r="E54" s="62"/>
      <c r="G54" s="60"/>
      <c r="H54" s="64"/>
    </row>
  </sheetData>
  <mergeCells count="3">
    <mergeCell ref="D1:E1"/>
    <mergeCell ref="G1:H1"/>
    <mergeCell ref="A1:B1"/>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07F5-AFFD-4201-960F-C0565035EC82}">
  <dimension ref="A1:B21"/>
  <sheetViews>
    <sheetView showGridLines="0" workbookViewId="0">
      <selection activeCell="A2" sqref="A2"/>
    </sheetView>
  </sheetViews>
  <sheetFormatPr defaultRowHeight="17.25" customHeight="1" x14ac:dyDescent="0.45"/>
  <cols>
    <col min="1" max="1" width="65.3984375" customWidth="1"/>
    <col min="2" max="2" width="12.3984375" customWidth="1"/>
  </cols>
  <sheetData>
    <row r="1" spans="1:2" ht="22.9" x14ac:dyDescent="0.45">
      <c r="A1" s="65" t="s">
        <v>74</v>
      </c>
      <c r="B1" s="65"/>
    </row>
    <row r="3" spans="1:2" ht="25.5" customHeight="1" x14ac:dyDescent="0.45">
      <c r="A3" s="66" t="str">
        <f>"Measures calculated for " &amp; NumberOfTotalIterations &amp; " iterations during " &amp; ProjectDuration &amp; " weeks"</f>
        <v>Measures calculated for 18 iterations during 36 weeks</v>
      </c>
      <c r="B3" s="66"/>
    </row>
    <row r="4" spans="1:2" ht="17.25" customHeight="1" x14ac:dyDescent="0.45">
      <c r="A4" s="21" t="s">
        <v>76</v>
      </c>
      <c r="B4" s="43">
        <f>SUMIF(Simulation!$B$7:$B$33,"&lt;=" &amp; NumberOfTotalIterations,Simulation!S7:S33)</f>
        <v>114000</v>
      </c>
    </row>
    <row r="5" spans="1:2" ht="17.25" customHeight="1" x14ac:dyDescent="0.45">
      <c r="A5" s="21" t="s">
        <v>77</v>
      </c>
      <c r="B5" s="43">
        <f>SUMIF(Simulation!$B$7:$B$33,"&lt;=" &amp; NumberOfTotalIterations,Simulation!AH7:AH33)</f>
        <v>26469.23076923077</v>
      </c>
    </row>
    <row r="6" spans="1:2" ht="17.25" customHeight="1" x14ac:dyDescent="0.45">
      <c r="A6" s="21" t="s">
        <v>78</v>
      </c>
      <c r="B6" s="43">
        <f>B4-B5</f>
        <v>87530.769230769234</v>
      </c>
    </row>
    <row r="7" spans="1:2" ht="17.25" customHeight="1" x14ac:dyDescent="0.45">
      <c r="A7" s="21" t="s">
        <v>73</v>
      </c>
      <c r="B7" s="44">
        <f>B6/B5</f>
        <v>3.3068875326939846</v>
      </c>
    </row>
    <row r="9" spans="1:2" ht="14.25" x14ac:dyDescent="0.45">
      <c r="A9" s="36" t="s">
        <v>40</v>
      </c>
    </row>
    <row r="10" spans="1:2" ht="14.25" x14ac:dyDescent="0.45">
      <c r="A10" s="19"/>
    </row>
    <row r="11" spans="1:2" ht="28.5" x14ac:dyDescent="0.45">
      <c r="A11" s="20" t="s">
        <v>75</v>
      </c>
    </row>
    <row r="12" spans="1:2" ht="14.25" x14ac:dyDescent="0.45">
      <c r="A12" s="20"/>
    </row>
    <row r="13" spans="1:2" ht="14.25" x14ac:dyDescent="0.45">
      <c r="A13" s="20" t="str">
        <f>"The TCO of automated testing for one year is USD " &amp; TEXT(SubscriptionPricePerYear+HardwareCostsYearly+(TrainingEffortPerHeadAndYear*Headcount*RateAverage), "#,##0.00") &amp; "."</f>
        <v>The TCO of automated testing for one year is USD 20,900.00.</v>
      </c>
    </row>
    <row r="14" spans="1:2" ht="14.25" x14ac:dyDescent="0.45">
      <c r="A14" s="20"/>
    </row>
    <row r="15" spans="1:2" ht="28.5" x14ac:dyDescent="0.45">
      <c r="A15" s="20" t="str">
        <f>"Break even with automated testing vs. manual testing is " &amp; IF(_xlfn.XLOOKUP("break even",Simulation!$AL$7:$AL$33,Simulation!$B$7:$B$33,"never",0,1)&lt;10,"very early ","") &amp; "in iteration " &amp; _xlfn.XLOOKUP("break even",Simulation!$AL$7:$AL$33,Simulation!$B$7:$B$33,"never",0,1) &amp; " in release " &amp; _xlfn.XLOOKUP("break even",Simulation!$AL$7:$AL$33,Simulation!$A$7:$A$33,"never",0,1) &amp; "."</f>
        <v>Break even with automated testing vs. manual testing is very early in iteration 4 in release 1.</v>
      </c>
    </row>
    <row r="16" spans="1:2" ht="14.25" x14ac:dyDescent="0.45">
      <c r="A16" s="20"/>
    </row>
    <row r="17" spans="1:1" ht="28.5" x14ac:dyDescent="0.45">
      <c r="A17" s="20" t="str">
        <f>"When manually testing, your team will be overloaded by testing tasks starting in in iteration " &amp; _xlfn.XLOOKUP("overloaded",Simulation!$R$7:$R$33,Simulation!$B$7:$B$33,"never",0,1) &amp; " in release " &amp; _xlfn.XLOOKUP("overloaded",Simulation!$R$7:$R$33,Simulation!$A$7:$A$33,"never",0,1) &amp; "."</f>
        <v>When manually testing, your team will be overloaded by testing tasks starting in in iteration 8 in release 1.</v>
      </c>
    </row>
    <row r="18" spans="1:1" ht="28.5" x14ac:dyDescent="0.45">
      <c r="A18" s="20" t="s">
        <v>47</v>
      </c>
    </row>
    <row r="19" spans="1:1" ht="14.25" x14ac:dyDescent="0.45">
      <c r="A19" s="20"/>
    </row>
    <row r="20" spans="1:1" ht="14.25" x14ac:dyDescent="0.45">
      <c r="A20" s="20"/>
    </row>
    <row r="21" spans="1:1" ht="14.25" x14ac:dyDescent="0.45">
      <c r="A21" s="37"/>
    </row>
  </sheetData>
  <mergeCells count="2">
    <mergeCell ref="A3:B3"/>
    <mergeCell ref="A1:B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2"/>
  <sheetViews>
    <sheetView showGridLines="0" topLeftCell="C2" zoomScaleNormal="100" workbookViewId="0">
      <selection activeCell="AL10" sqref="AL10"/>
    </sheetView>
  </sheetViews>
  <sheetFormatPr defaultColWidth="11.3984375" defaultRowHeight="14.25" x14ac:dyDescent="0.45"/>
  <cols>
    <col min="1" max="2" width="11.3984375" hidden="1" customWidth="1"/>
    <col min="8" max="8" width="2.59765625" customWidth="1"/>
    <col min="9" max="16" width="16.1328125" customWidth="1"/>
    <col min="17" max="17" width="10.73046875" customWidth="1"/>
    <col min="18" max="18" width="13.1328125" customWidth="1"/>
    <col min="19" max="20" width="16.1328125" customWidth="1"/>
    <col min="21" max="21" width="2.59765625" customWidth="1"/>
    <col min="22" max="35" width="16.1328125" customWidth="1"/>
    <col min="36" max="36" width="2.86328125" customWidth="1"/>
    <col min="37" max="37" width="19.3984375" customWidth="1"/>
    <col min="38" max="38" width="15.86328125" customWidth="1"/>
  </cols>
  <sheetData>
    <row r="1" spans="1:38" ht="22.9" x14ac:dyDescent="0.45">
      <c r="B1" s="26"/>
      <c r="C1" s="26" t="s">
        <v>87</v>
      </c>
      <c r="D1" s="26"/>
    </row>
    <row r="2" spans="1:38" ht="37.5" customHeight="1" x14ac:dyDescent="0.45">
      <c r="C2" s="68" t="s">
        <v>88</v>
      </c>
      <c r="D2" s="68"/>
      <c r="E2" s="68"/>
      <c r="F2" s="68"/>
      <c r="G2" s="68"/>
      <c r="H2" s="68"/>
      <c r="I2" s="68"/>
      <c r="J2" s="68"/>
      <c r="K2" s="68"/>
      <c r="L2" s="68"/>
    </row>
    <row r="4" spans="1:38" ht="27" customHeight="1" x14ac:dyDescent="0.45">
      <c r="A4" s="80" t="s">
        <v>3</v>
      </c>
      <c r="B4" s="81"/>
      <c r="C4" s="81"/>
      <c r="D4" s="81"/>
      <c r="E4" s="81"/>
      <c r="F4" s="81"/>
      <c r="G4" s="82"/>
      <c r="H4" s="31"/>
      <c r="I4" s="80" t="s">
        <v>8</v>
      </c>
      <c r="J4" s="81"/>
      <c r="K4" s="81"/>
      <c r="L4" s="81"/>
      <c r="M4" s="81"/>
      <c r="N4" s="81"/>
      <c r="O4" s="81"/>
      <c r="P4" s="81"/>
      <c r="Q4" s="81"/>
      <c r="R4" s="81"/>
      <c r="S4" s="81"/>
      <c r="T4" s="82"/>
      <c r="U4" s="32"/>
      <c r="V4" s="77" t="str">
        <f>"Automated Testing with BiG EVAL " &amp; Parameters!I4</f>
        <v xml:space="preserve">Automated Testing with BiG EVAL </v>
      </c>
      <c r="W4" s="78"/>
      <c r="X4" s="78"/>
      <c r="Y4" s="78"/>
      <c r="Z4" s="78"/>
      <c r="AA4" s="78"/>
      <c r="AB4" s="78"/>
      <c r="AC4" s="78"/>
      <c r="AD4" s="78"/>
      <c r="AE4" s="78"/>
      <c r="AF4" s="78"/>
      <c r="AG4" s="78"/>
      <c r="AH4" s="78"/>
      <c r="AI4" s="79"/>
      <c r="AJ4" s="32"/>
      <c r="AK4" s="69" t="s">
        <v>29</v>
      </c>
      <c r="AL4" s="70"/>
    </row>
    <row r="5" spans="1:38" ht="21" customHeight="1" x14ac:dyDescent="0.45">
      <c r="A5" s="34"/>
      <c r="B5" s="10"/>
      <c r="C5" s="10"/>
      <c r="D5" s="10"/>
      <c r="E5" s="10"/>
      <c r="F5" s="10"/>
      <c r="G5" s="11"/>
      <c r="H5" s="31"/>
      <c r="I5" s="74" t="s">
        <v>28</v>
      </c>
      <c r="J5" s="75"/>
      <c r="K5" s="76"/>
      <c r="L5" s="71" t="s">
        <v>27</v>
      </c>
      <c r="M5" s="72"/>
      <c r="N5" s="73"/>
      <c r="O5" s="71" t="s">
        <v>32</v>
      </c>
      <c r="P5" s="72"/>
      <c r="Q5" s="72"/>
      <c r="R5" s="72"/>
      <c r="S5" s="72"/>
      <c r="T5" s="73"/>
      <c r="U5" s="32"/>
      <c r="V5" s="88" t="s">
        <v>28</v>
      </c>
      <c r="W5" s="89"/>
      <c r="X5" s="90"/>
      <c r="Y5" s="71" t="s">
        <v>27</v>
      </c>
      <c r="Z5" s="72"/>
      <c r="AA5" s="73"/>
      <c r="AB5" s="71" t="s">
        <v>51</v>
      </c>
      <c r="AC5" s="72"/>
      <c r="AD5" s="73"/>
      <c r="AE5" s="71" t="s">
        <v>32</v>
      </c>
      <c r="AF5" s="72"/>
      <c r="AG5" s="72"/>
      <c r="AH5" s="72"/>
      <c r="AI5" s="73"/>
      <c r="AJ5" s="32"/>
      <c r="AK5" s="83" t="s">
        <v>38</v>
      </c>
      <c r="AL5" s="83" t="s">
        <v>55</v>
      </c>
    </row>
    <row r="6" spans="1:38" ht="57" customHeight="1" x14ac:dyDescent="0.45">
      <c r="A6" s="35" t="s">
        <v>42</v>
      </c>
      <c r="B6" s="12" t="s">
        <v>41</v>
      </c>
      <c r="C6" s="12" t="s">
        <v>0</v>
      </c>
      <c r="D6" s="12" t="s">
        <v>1</v>
      </c>
      <c r="E6" s="12" t="s">
        <v>9</v>
      </c>
      <c r="F6" s="13" t="s">
        <v>10</v>
      </c>
      <c r="G6" s="13" t="s">
        <v>11</v>
      </c>
      <c r="H6" s="31"/>
      <c r="I6" s="27" t="s">
        <v>30</v>
      </c>
      <c r="J6" s="27" t="s">
        <v>33</v>
      </c>
      <c r="K6" s="28" t="s">
        <v>35</v>
      </c>
      <c r="L6" s="17" t="s">
        <v>30</v>
      </c>
      <c r="M6" s="17" t="s">
        <v>34</v>
      </c>
      <c r="N6" s="18" t="s">
        <v>35</v>
      </c>
      <c r="O6" s="16" t="s">
        <v>30</v>
      </c>
      <c r="P6" s="16" t="s">
        <v>43</v>
      </c>
      <c r="Q6" s="86" t="s">
        <v>46</v>
      </c>
      <c r="R6" s="87"/>
      <c r="S6" s="27" t="s">
        <v>31</v>
      </c>
      <c r="T6" s="28" t="s">
        <v>35</v>
      </c>
      <c r="U6" s="33"/>
      <c r="V6" s="17" t="s">
        <v>30</v>
      </c>
      <c r="W6" s="17" t="s">
        <v>33</v>
      </c>
      <c r="X6" s="25" t="s">
        <v>35</v>
      </c>
      <c r="Y6" s="17" t="s">
        <v>30</v>
      </c>
      <c r="Z6" s="17" t="s">
        <v>34</v>
      </c>
      <c r="AA6" s="25" t="s">
        <v>35</v>
      </c>
      <c r="AB6" s="23" t="s">
        <v>53</v>
      </c>
      <c r="AC6" s="17" t="s">
        <v>52</v>
      </c>
      <c r="AD6" s="17" t="s">
        <v>54</v>
      </c>
      <c r="AE6" s="16" t="s">
        <v>30</v>
      </c>
      <c r="AF6" s="16" t="s">
        <v>43</v>
      </c>
      <c r="AG6" s="16" t="s">
        <v>45</v>
      </c>
      <c r="AH6" s="28" t="s">
        <v>36</v>
      </c>
      <c r="AI6" s="28" t="s">
        <v>37</v>
      </c>
      <c r="AJ6" s="32"/>
      <c r="AK6" s="84"/>
      <c r="AL6" s="85"/>
    </row>
    <row r="7" spans="1:38" x14ac:dyDescent="0.45">
      <c r="A7" s="6">
        <f t="shared" ref="A7:A33" si="0">ROUNDDOWN((B7-1)/NumberOfIterations,0)+1</f>
        <v>1</v>
      </c>
      <c r="B7" s="38">
        <v>1</v>
      </c>
      <c r="C7" s="38" t="str">
        <f>IF(A7&lt;&gt;A6,"Release "&amp;A7,"")</f>
        <v>Release 1</v>
      </c>
      <c r="D7" s="14" t="str">
        <f>"Iteration " &amp;B7</f>
        <v>Iteration 1</v>
      </c>
      <c r="E7" s="14">
        <v>0</v>
      </c>
      <c r="F7" s="15">
        <f>Parameters!$E$4</f>
        <v>40</v>
      </c>
      <c r="G7" s="15">
        <f>F7</f>
        <v>40</v>
      </c>
      <c r="H7" s="2"/>
      <c r="I7" s="29">
        <f t="shared" ref="I7:I33" si="1">O7*(NumberInternalFte/NumberTotalFte)</f>
        <v>6.6666666666666661</v>
      </c>
      <c r="J7" s="30">
        <f>I7*Parameters!$B$17</f>
        <v>300</v>
      </c>
      <c r="K7" s="30">
        <f>J7</f>
        <v>300</v>
      </c>
      <c r="L7" s="24">
        <f t="shared" ref="L7:L33" si="2">O7*(NumberExternalFte/NumberTotalFte)</f>
        <v>3.333333333333333</v>
      </c>
      <c r="M7" s="9">
        <f>L7*Parameters!$B$18</f>
        <v>366.66666666666663</v>
      </c>
      <c r="N7" s="9">
        <f>M7</f>
        <v>366.66666666666663</v>
      </c>
      <c r="O7" s="24">
        <f>$G7*Parameters!$E$5/60</f>
        <v>10</v>
      </c>
      <c r="P7" s="24">
        <f>O7</f>
        <v>10</v>
      </c>
      <c r="Q7" s="40">
        <f t="shared" ref="Q7:Q33" si="3">O7/WorkingHoursPerIteration</f>
        <v>0.125</v>
      </c>
      <c r="R7" s="41" t="str">
        <f>IF(Q7&gt;=1, "overloaded","")</f>
        <v/>
      </c>
      <c r="S7" s="9">
        <f>M7+J7</f>
        <v>666.66666666666663</v>
      </c>
      <c r="T7" s="9">
        <f>S7</f>
        <v>666.66666666666663</v>
      </c>
      <c r="V7" s="24">
        <f t="shared" ref="V7:V33" si="4">AE7*(NumberInternalFte/NumberTotalFte)</f>
        <v>6.6666666666666661</v>
      </c>
      <c r="W7" s="9">
        <f>V7*Parameters!$B$17</f>
        <v>300</v>
      </c>
      <c r="X7" s="9">
        <f>W7</f>
        <v>300</v>
      </c>
      <c r="Y7" s="24">
        <f t="shared" ref="Y7:Y33" si="5">AE7*(NumberExternalFte/NumberTotalFte)</f>
        <v>3.333333333333333</v>
      </c>
      <c r="Z7" s="9">
        <f>Y7*Parameters!$B$18</f>
        <v>366.66666666666663</v>
      </c>
      <c r="AA7" s="9">
        <f>Z7</f>
        <v>366.66666666666663</v>
      </c>
      <c r="AB7" s="9">
        <f>DurationOfIteration*SubscriptionPricePerWeek</f>
        <v>634.61538461538464</v>
      </c>
      <c r="AC7" s="9">
        <f t="shared" ref="AC7:AC33" si="6">HardwareCostsWeekly*DurationOfIteration</f>
        <v>46.153846153846153</v>
      </c>
      <c r="AD7" s="9">
        <f t="shared" ref="AD7:AD33" si="7">TrainingEffortPerHeadAndWeek*DurationOfIteration*Headcount*RateAverage</f>
        <v>123.07692307692309</v>
      </c>
      <c r="AE7" s="24">
        <f>$F7*Parameters!$E$6/60</f>
        <v>10</v>
      </c>
      <c r="AF7" s="24">
        <f>AE7</f>
        <v>10</v>
      </c>
      <c r="AG7" s="40">
        <f t="shared" ref="AG7:AG33" si="8">AE7/WorkingHoursPerIteration</f>
        <v>0.125</v>
      </c>
      <c r="AH7" s="9">
        <f>W7+Z7+AB7+AC7+AD7</f>
        <v>1470.5128205128206</v>
      </c>
      <c r="AI7" s="9">
        <f>AH7</f>
        <v>1470.5128205128206</v>
      </c>
      <c r="AK7" s="8">
        <f>T7-AI7</f>
        <v>-803.84615384615392</v>
      </c>
      <c r="AL7" s="14" t="str">
        <f xml:space="preserve"> IF(AND(AK7&gt;=0,OR(AK6&lt;0,B7=1)),"break even","")</f>
        <v/>
      </c>
    </row>
    <row r="8" spans="1:38" x14ac:dyDescent="0.45">
      <c r="A8" s="6">
        <f t="shared" si="0"/>
        <v>1</v>
      </c>
      <c r="B8" s="38">
        <v>2</v>
      </c>
      <c r="C8" s="38" t="str">
        <f t="shared" ref="C8:C33" si="9">IF(A8&lt;&gt;A7,"Release "&amp;A8,"")</f>
        <v/>
      </c>
      <c r="D8" s="14" t="str">
        <f t="shared" ref="D8:D33" si="10">"Iteration " &amp;B8</f>
        <v>Iteration 2</v>
      </c>
      <c r="E8" s="7">
        <f>E7+Parameters!$B$6</f>
        <v>2</v>
      </c>
      <c r="F8" s="8">
        <f>Parameters!$E$4</f>
        <v>40</v>
      </c>
      <c r="G8" s="8">
        <f>G7+F8</f>
        <v>80</v>
      </c>
      <c r="H8" s="2"/>
      <c r="I8" s="24">
        <f t="shared" si="1"/>
        <v>13.333333333333332</v>
      </c>
      <c r="J8" s="9">
        <f>I8*Parameters!$B$17</f>
        <v>600</v>
      </c>
      <c r="K8" s="9">
        <f>K7+J8</f>
        <v>900</v>
      </c>
      <c r="L8" s="24">
        <f t="shared" si="2"/>
        <v>6.6666666666666661</v>
      </c>
      <c r="M8" s="9">
        <f>L8*Parameters!$B$18</f>
        <v>733.33333333333326</v>
      </c>
      <c r="N8" s="9">
        <f>N7+M8</f>
        <v>1100</v>
      </c>
      <c r="O8" s="24">
        <f>$G8*Parameters!$E$5/60</f>
        <v>20</v>
      </c>
      <c r="P8" s="24">
        <f>P7+O8</f>
        <v>30</v>
      </c>
      <c r="Q8" s="40">
        <f t="shared" si="3"/>
        <v>0.25</v>
      </c>
      <c r="R8" s="41" t="str">
        <f t="shared" ref="R8:R33" si="11">IF(Q8&gt;=1, "overloaded","")</f>
        <v/>
      </c>
      <c r="S8" s="9">
        <f t="shared" ref="S8:S33" si="12">M8+J8</f>
        <v>1333.3333333333333</v>
      </c>
      <c r="T8" s="9">
        <f>T7+S8</f>
        <v>2000</v>
      </c>
      <c r="V8" s="24">
        <f t="shared" si="4"/>
        <v>6.6666666666666661</v>
      </c>
      <c r="W8" s="9">
        <f>V8*Parameters!$B$17</f>
        <v>300</v>
      </c>
      <c r="X8" s="9">
        <f>X7+W8</f>
        <v>600</v>
      </c>
      <c r="Y8" s="24">
        <f t="shared" si="5"/>
        <v>3.333333333333333</v>
      </c>
      <c r="Z8" s="9">
        <f>Y8*Parameters!$B$18</f>
        <v>366.66666666666663</v>
      </c>
      <c r="AA8" s="9">
        <f>AA7+Z8</f>
        <v>733.33333333333326</v>
      </c>
      <c r="AB8" s="9">
        <f>DurationOfIteration*Parameters!$H$8</f>
        <v>634.61538461538464</v>
      </c>
      <c r="AC8" s="9">
        <f t="shared" si="6"/>
        <v>46.153846153846153</v>
      </c>
      <c r="AD8" s="9">
        <f t="shared" si="7"/>
        <v>123.07692307692309</v>
      </c>
      <c r="AE8" s="24">
        <f>$F8*Parameters!$E$6/60</f>
        <v>10</v>
      </c>
      <c r="AF8" s="24">
        <f>AF7+AE8</f>
        <v>20</v>
      </c>
      <c r="AG8" s="40">
        <f t="shared" si="8"/>
        <v>0.125</v>
      </c>
      <c r="AH8" s="9">
        <f t="shared" ref="AH8:AH33" si="13">W8+Z8+AB8+AC8+AD8</f>
        <v>1470.5128205128206</v>
      </c>
      <c r="AI8" s="9">
        <f>AI7+AH8</f>
        <v>2941.0256410256411</v>
      </c>
      <c r="AK8" s="8">
        <f t="shared" ref="AK8:AK33" si="14">T8-AI8</f>
        <v>-941.02564102564111</v>
      </c>
      <c r="AL8" s="14" t="str">
        <f t="shared" ref="AL8:AL33" si="15" xml:space="preserve"> IF(AND(AK8&gt;=0,OR(AK7&lt;0,B8=1)),"break even","")</f>
        <v/>
      </c>
    </row>
    <row r="9" spans="1:38" x14ac:dyDescent="0.45">
      <c r="A9" s="6">
        <f t="shared" si="0"/>
        <v>1</v>
      </c>
      <c r="B9" s="38">
        <v>3</v>
      </c>
      <c r="C9" s="38" t="str">
        <f t="shared" si="9"/>
        <v/>
      </c>
      <c r="D9" s="14" t="str">
        <f t="shared" si="10"/>
        <v>Iteration 3</v>
      </c>
      <c r="E9" s="7">
        <f>E8+Parameters!$B$6</f>
        <v>4</v>
      </c>
      <c r="F9" s="8">
        <f>Parameters!$E$4</f>
        <v>40</v>
      </c>
      <c r="G9" s="8">
        <f t="shared" ref="G9:G33" si="16">G8+F9</f>
        <v>120</v>
      </c>
      <c r="H9" s="2"/>
      <c r="I9" s="24">
        <f t="shared" si="1"/>
        <v>20</v>
      </c>
      <c r="J9" s="9">
        <f>I9*Parameters!$B$17</f>
        <v>900</v>
      </c>
      <c r="K9" s="9">
        <f t="shared" ref="K9:K33" si="17">K8+J9</f>
        <v>1800</v>
      </c>
      <c r="L9" s="24">
        <f t="shared" si="2"/>
        <v>10</v>
      </c>
      <c r="M9" s="9">
        <f>L9*Parameters!$B$18</f>
        <v>1100</v>
      </c>
      <c r="N9" s="9">
        <f t="shared" ref="N9:N33" si="18">N8+M9</f>
        <v>2200</v>
      </c>
      <c r="O9" s="24">
        <f>$G9*Parameters!$E$5/60</f>
        <v>30</v>
      </c>
      <c r="P9" s="24">
        <f t="shared" ref="P9:P33" si="19">P8+O9</f>
        <v>60</v>
      </c>
      <c r="Q9" s="40">
        <f t="shared" si="3"/>
        <v>0.375</v>
      </c>
      <c r="R9" s="41" t="str">
        <f t="shared" si="11"/>
        <v/>
      </c>
      <c r="S9" s="9">
        <f t="shared" si="12"/>
        <v>2000</v>
      </c>
      <c r="T9" s="9">
        <f t="shared" ref="T9:T33" si="20">T8+S9</f>
        <v>4000</v>
      </c>
      <c r="V9" s="24">
        <f t="shared" si="4"/>
        <v>6.6666666666666661</v>
      </c>
      <c r="W9" s="9">
        <f>V9*Parameters!$B$17</f>
        <v>300</v>
      </c>
      <c r="X9" s="9">
        <f t="shared" ref="X9:X33" si="21">X8+W9</f>
        <v>900</v>
      </c>
      <c r="Y9" s="24">
        <f t="shared" si="5"/>
        <v>3.333333333333333</v>
      </c>
      <c r="Z9" s="9">
        <f>Y9*Parameters!$B$18</f>
        <v>366.66666666666663</v>
      </c>
      <c r="AA9" s="9">
        <f t="shared" ref="AA9:AA33" si="22">AA8+Z9</f>
        <v>1100</v>
      </c>
      <c r="AB9" s="9">
        <f>DurationOfIteration*Parameters!$H$8</f>
        <v>634.61538461538464</v>
      </c>
      <c r="AC9" s="9">
        <f t="shared" si="6"/>
        <v>46.153846153846153</v>
      </c>
      <c r="AD9" s="9">
        <f t="shared" si="7"/>
        <v>123.07692307692309</v>
      </c>
      <c r="AE9" s="24">
        <f>$F9*Parameters!$E$6/60</f>
        <v>10</v>
      </c>
      <c r="AF9" s="24">
        <f t="shared" ref="AF9:AF33" si="23">AF8+AE9</f>
        <v>30</v>
      </c>
      <c r="AG9" s="40">
        <f t="shared" si="8"/>
        <v>0.125</v>
      </c>
      <c r="AH9" s="9">
        <f t="shared" si="13"/>
        <v>1470.5128205128206</v>
      </c>
      <c r="AI9" s="9">
        <f t="shared" ref="AI9:AI33" si="24">AI8+AH9</f>
        <v>4411.5384615384619</v>
      </c>
      <c r="AK9" s="8">
        <f t="shared" si="14"/>
        <v>-411.53846153846189</v>
      </c>
      <c r="AL9" s="14" t="str">
        <f t="shared" si="15"/>
        <v/>
      </c>
    </row>
    <row r="10" spans="1:38" x14ac:dyDescent="0.45">
      <c r="A10" s="6">
        <f t="shared" si="0"/>
        <v>1</v>
      </c>
      <c r="B10" s="38">
        <v>4</v>
      </c>
      <c r="C10" s="38" t="str">
        <f t="shared" si="9"/>
        <v/>
      </c>
      <c r="D10" s="14" t="str">
        <f t="shared" si="10"/>
        <v>Iteration 4</v>
      </c>
      <c r="E10" s="7">
        <f>E9+Parameters!$B$6</f>
        <v>6</v>
      </c>
      <c r="F10" s="8">
        <f>Parameters!$E$4</f>
        <v>40</v>
      </c>
      <c r="G10" s="8">
        <f t="shared" si="16"/>
        <v>160</v>
      </c>
      <c r="H10" s="2"/>
      <c r="I10" s="24">
        <f t="shared" si="1"/>
        <v>26.666666666666664</v>
      </c>
      <c r="J10" s="9">
        <f>I10*Parameters!$B$17</f>
        <v>1200</v>
      </c>
      <c r="K10" s="9">
        <f t="shared" si="17"/>
        <v>3000</v>
      </c>
      <c r="L10" s="24">
        <f t="shared" si="2"/>
        <v>13.333333333333332</v>
      </c>
      <c r="M10" s="9">
        <f>L10*Parameters!$B$18</f>
        <v>1466.6666666666665</v>
      </c>
      <c r="N10" s="9">
        <f t="shared" si="18"/>
        <v>3666.6666666666665</v>
      </c>
      <c r="O10" s="24">
        <f>$G10*Parameters!$E$5/60</f>
        <v>40</v>
      </c>
      <c r="P10" s="24">
        <f t="shared" si="19"/>
        <v>100</v>
      </c>
      <c r="Q10" s="40">
        <f t="shared" si="3"/>
        <v>0.5</v>
      </c>
      <c r="R10" s="41" t="str">
        <f t="shared" si="11"/>
        <v/>
      </c>
      <c r="S10" s="9">
        <f t="shared" si="12"/>
        <v>2666.6666666666665</v>
      </c>
      <c r="T10" s="9">
        <f t="shared" si="20"/>
        <v>6666.6666666666661</v>
      </c>
      <c r="V10" s="24">
        <f t="shared" si="4"/>
        <v>6.6666666666666661</v>
      </c>
      <c r="W10" s="9">
        <f>V10*Parameters!$B$17</f>
        <v>300</v>
      </c>
      <c r="X10" s="9">
        <f t="shared" si="21"/>
        <v>1200</v>
      </c>
      <c r="Y10" s="24">
        <f t="shared" si="5"/>
        <v>3.333333333333333</v>
      </c>
      <c r="Z10" s="9">
        <f>Y10*Parameters!$B$18</f>
        <v>366.66666666666663</v>
      </c>
      <c r="AA10" s="9">
        <f t="shared" si="22"/>
        <v>1466.6666666666665</v>
      </c>
      <c r="AB10" s="9">
        <f>DurationOfIteration*Parameters!$H$8</f>
        <v>634.61538461538464</v>
      </c>
      <c r="AC10" s="9">
        <f t="shared" si="6"/>
        <v>46.153846153846153</v>
      </c>
      <c r="AD10" s="9">
        <f t="shared" si="7"/>
        <v>123.07692307692309</v>
      </c>
      <c r="AE10" s="24">
        <f>$F10*Parameters!$E$6/60</f>
        <v>10</v>
      </c>
      <c r="AF10" s="24">
        <f t="shared" si="23"/>
        <v>40</v>
      </c>
      <c r="AG10" s="40">
        <f t="shared" si="8"/>
        <v>0.125</v>
      </c>
      <c r="AH10" s="9">
        <f t="shared" si="13"/>
        <v>1470.5128205128206</v>
      </c>
      <c r="AI10" s="9">
        <f t="shared" si="24"/>
        <v>5882.0512820512822</v>
      </c>
      <c r="AK10" s="8">
        <f t="shared" si="14"/>
        <v>784.61538461538385</v>
      </c>
      <c r="AL10" s="14" t="str">
        <f t="shared" si="15"/>
        <v>break even</v>
      </c>
    </row>
    <row r="11" spans="1:38" x14ac:dyDescent="0.45">
      <c r="A11" s="6">
        <f t="shared" si="0"/>
        <v>1</v>
      </c>
      <c r="B11" s="38">
        <v>5</v>
      </c>
      <c r="C11" s="38" t="str">
        <f t="shared" si="9"/>
        <v/>
      </c>
      <c r="D11" s="14" t="str">
        <f t="shared" si="10"/>
        <v>Iteration 5</v>
      </c>
      <c r="E11" s="7">
        <f>E10+Parameters!$B$6</f>
        <v>8</v>
      </c>
      <c r="F11" s="8">
        <f>Parameters!$E$4</f>
        <v>40</v>
      </c>
      <c r="G11" s="8">
        <f t="shared" si="16"/>
        <v>200</v>
      </c>
      <c r="H11" s="2"/>
      <c r="I11" s="24">
        <f t="shared" si="1"/>
        <v>33.333333333333329</v>
      </c>
      <c r="J11" s="9">
        <f>I11*Parameters!$B$17</f>
        <v>1499.9999999999998</v>
      </c>
      <c r="K11" s="9">
        <f t="shared" si="17"/>
        <v>4500</v>
      </c>
      <c r="L11" s="24">
        <f t="shared" si="2"/>
        <v>16.666666666666664</v>
      </c>
      <c r="M11" s="9">
        <f>L11*Parameters!$B$18</f>
        <v>1833.333333333333</v>
      </c>
      <c r="N11" s="9">
        <f t="shared" si="18"/>
        <v>5500</v>
      </c>
      <c r="O11" s="24">
        <f>$G11*Parameters!$E$5/60</f>
        <v>50</v>
      </c>
      <c r="P11" s="24">
        <f t="shared" si="19"/>
        <v>150</v>
      </c>
      <c r="Q11" s="40">
        <f t="shared" si="3"/>
        <v>0.625</v>
      </c>
      <c r="R11" s="41" t="str">
        <f t="shared" si="11"/>
        <v/>
      </c>
      <c r="S11" s="9">
        <f t="shared" si="12"/>
        <v>3333.333333333333</v>
      </c>
      <c r="T11" s="9">
        <f t="shared" si="20"/>
        <v>10000</v>
      </c>
      <c r="V11" s="24">
        <f t="shared" si="4"/>
        <v>6.6666666666666661</v>
      </c>
      <c r="W11" s="9">
        <f>V11*Parameters!$B$17</f>
        <v>300</v>
      </c>
      <c r="X11" s="9">
        <f t="shared" si="21"/>
        <v>1500</v>
      </c>
      <c r="Y11" s="24">
        <f t="shared" si="5"/>
        <v>3.333333333333333</v>
      </c>
      <c r="Z11" s="9">
        <f>Y11*Parameters!$B$18</f>
        <v>366.66666666666663</v>
      </c>
      <c r="AA11" s="9">
        <f t="shared" si="22"/>
        <v>1833.333333333333</v>
      </c>
      <c r="AB11" s="9">
        <f>DurationOfIteration*Parameters!$H$8</f>
        <v>634.61538461538464</v>
      </c>
      <c r="AC11" s="9">
        <f t="shared" si="6"/>
        <v>46.153846153846153</v>
      </c>
      <c r="AD11" s="9">
        <f t="shared" si="7"/>
        <v>123.07692307692309</v>
      </c>
      <c r="AE11" s="24">
        <f>$F11*Parameters!$E$6/60</f>
        <v>10</v>
      </c>
      <c r="AF11" s="24">
        <f t="shared" si="23"/>
        <v>50</v>
      </c>
      <c r="AG11" s="40">
        <f t="shared" si="8"/>
        <v>0.125</v>
      </c>
      <c r="AH11" s="9">
        <f t="shared" si="13"/>
        <v>1470.5128205128206</v>
      </c>
      <c r="AI11" s="9">
        <f t="shared" si="24"/>
        <v>7352.5641025641025</v>
      </c>
      <c r="AK11" s="8">
        <f t="shared" si="14"/>
        <v>2647.4358974358975</v>
      </c>
      <c r="AL11" s="14" t="str">
        <f t="shared" si="15"/>
        <v/>
      </c>
    </row>
    <row r="12" spans="1:38" x14ac:dyDescent="0.45">
      <c r="A12" s="6">
        <f t="shared" si="0"/>
        <v>1</v>
      </c>
      <c r="B12" s="38">
        <v>6</v>
      </c>
      <c r="C12" s="38" t="str">
        <f t="shared" si="9"/>
        <v/>
      </c>
      <c r="D12" s="14" t="str">
        <f t="shared" si="10"/>
        <v>Iteration 6</v>
      </c>
      <c r="E12" s="7">
        <f>E11+Parameters!$B$6</f>
        <v>10</v>
      </c>
      <c r="F12" s="8">
        <f>Parameters!$E$4</f>
        <v>40</v>
      </c>
      <c r="G12" s="8">
        <f t="shared" si="16"/>
        <v>240</v>
      </c>
      <c r="H12" s="2"/>
      <c r="I12" s="24">
        <f t="shared" si="1"/>
        <v>40</v>
      </c>
      <c r="J12" s="9">
        <f>I12*Parameters!$B$17</f>
        <v>1800</v>
      </c>
      <c r="K12" s="9">
        <f t="shared" si="17"/>
        <v>6300</v>
      </c>
      <c r="L12" s="24">
        <f t="shared" si="2"/>
        <v>20</v>
      </c>
      <c r="M12" s="9">
        <f>L12*Parameters!$B$18</f>
        <v>2200</v>
      </c>
      <c r="N12" s="9">
        <f t="shared" si="18"/>
        <v>7700</v>
      </c>
      <c r="O12" s="24">
        <f>$G12*Parameters!$E$5/60</f>
        <v>60</v>
      </c>
      <c r="P12" s="24">
        <f t="shared" si="19"/>
        <v>210</v>
      </c>
      <c r="Q12" s="40">
        <f t="shared" si="3"/>
        <v>0.75</v>
      </c>
      <c r="R12" s="41" t="str">
        <f t="shared" si="11"/>
        <v/>
      </c>
      <c r="S12" s="9">
        <f t="shared" si="12"/>
        <v>4000</v>
      </c>
      <c r="T12" s="9">
        <f t="shared" si="20"/>
        <v>14000</v>
      </c>
      <c r="V12" s="24">
        <f t="shared" si="4"/>
        <v>6.6666666666666661</v>
      </c>
      <c r="W12" s="9">
        <f>V12*Parameters!$B$17</f>
        <v>300</v>
      </c>
      <c r="X12" s="9">
        <f t="shared" si="21"/>
        <v>1800</v>
      </c>
      <c r="Y12" s="24">
        <f t="shared" si="5"/>
        <v>3.333333333333333</v>
      </c>
      <c r="Z12" s="9">
        <f>Y12*Parameters!$B$18</f>
        <v>366.66666666666663</v>
      </c>
      <c r="AA12" s="9">
        <f t="shared" si="22"/>
        <v>2199.9999999999995</v>
      </c>
      <c r="AB12" s="9">
        <f>DurationOfIteration*Parameters!$H$8</f>
        <v>634.61538461538464</v>
      </c>
      <c r="AC12" s="9">
        <f t="shared" si="6"/>
        <v>46.153846153846153</v>
      </c>
      <c r="AD12" s="9">
        <f t="shared" si="7"/>
        <v>123.07692307692309</v>
      </c>
      <c r="AE12" s="24">
        <f>$F12*Parameters!$E$6/60</f>
        <v>10</v>
      </c>
      <c r="AF12" s="24">
        <f t="shared" si="23"/>
        <v>60</v>
      </c>
      <c r="AG12" s="40">
        <f t="shared" si="8"/>
        <v>0.125</v>
      </c>
      <c r="AH12" s="9">
        <f t="shared" si="13"/>
        <v>1470.5128205128206</v>
      </c>
      <c r="AI12" s="9">
        <f t="shared" si="24"/>
        <v>8823.0769230769238</v>
      </c>
      <c r="AK12" s="8">
        <f t="shared" si="14"/>
        <v>5176.9230769230762</v>
      </c>
      <c r="AL12" s="14" t="str">
        <f t="shared" si="15"/>
        <v/>
      </c>
    </row>
    <row r="13" spans="1:38" x14ac:dyDescent="0.45">
      <c r="A13" s="6">
        <f t="shared" si="0"/>
        <v>1</v>
      </c>
      <c r="B13" s="38">
        <v>7</v>
      </c>
      <c r="C13" s="38" t="str">
        <f t="shared" si="9"/>
        <v/>
      </c>
      <c r="D13" s="14" t="str">
        <f t="shared" si="10"/>
        <v>Iteration 7</v>
      </c>
      <c r="E13" s="7">
        <f>E12+Parameters!$B$6</f>
        <v>12</v>
      </c>
      <c r="F13" s="8">
        <f>Parameters!$E$4</f>
        <v>40</v>
      </c>
      <c r="G13" s="8">
        <f t="shared" si="16"/>
        <v>280</v>
      </c>
      <c r="H13" s="2"/>
      <c r="I13" s="24">
        <f t="shared" si="1"/>
        <v>46.666666666666664</v>
      </c>
      <c r="J13" s="9">
        <f>I13*Parameters!$B$17</f>
        <v>2100</v>
      </c>
      <c r="K13" s="9">
        <f t="shared" si="17"/>
        <v>8400</v>
      </c>
      <c r="L13" s="24">
        <f t="shared" si="2"/>
        <v>23.333333333333332</v>
      </c>
      <c r="M13" s="9">
        <f>L13*Parameters!$B$18</f>
        <v>2566.6666666666665</v>
      </c>
      <c r="N13" s="9">
        <f t="shared" si="18"/>
        <v>10266.666666666666</v>
      </c>
      <c r="O13" s="24">
        <f>$G13*Parameters!$E$5/60</f>
        <v>70</v>
      </c>
      <c r="P13" s="24">
        <f t="shared" si="19"/>
        <v>280</v>
      </c>
      <c r="Q13" s="40">
        <f t="shared" si="3"/>
        <v>0.875</v>
      </c>
      <c r="R13" s="41" t="str">
        <f t="shared" si="11"/>
        <v/>
      </c>
      <c r="S13" s="9">
        <f t="shared" si="12"/>
        <v>4666.6666666666661</v>
      </c>
      <c r="T13" s="9">
        <f t="shared" si="20"/>
        <v>18666.666666666664</v>
      </c>
      <c r="V13" s="24">
        <f t="shared" si="4"/>
        <v>6.6666666666666661</v>
      </c>
      <c r="W13" s="9">
        <f>V13*Parameters!$B$17</f>
        <v>300</v>
      </c>
      <c r="X13" s="9">
        <f t="shared" si="21"/>
        <v>2100</v>
      </c>
      <c r="Y13" s="24">
        <f t="shared" si="5"/>
        <v>3.333333333333333</v>
      </c>
      <c r="Z13" s="9">
        <f>Y13*Parameters!$B$18</f>
        <v>366.66666666666663</v>
      </c>
      <c r="AA13" s="9">
        <f t="shared" si="22"/>
        <v>2566.6666666666661</v>
      </c>
      <c r="AB13" s="9">
        <f>DurationOfIteration*Parameters!$H$8</f>
        <v>634.61538461538464</v>
      </c>
      <c r="AC13" s="9">
        <f t="shared" si="6"/>
        <v>46.153846153846153</v>
      </c>
      <c r="AD13" s="9">
        <f t="shared" si="7"/>
        <v>123.07692307692309</v>
      </c>
      <c r="AE13" s="24">
        <f>$F13*Parameters!$E$6/60</f>
        <v>10</v>
      </c>
      <c r="AF13" s="24">
        <f t="shared" si="23"/>
        <v>70</v>
      </c>
      <c r="AG13" s="40">
        <f t="shared" si="8"/>
        <v>0.125</v>
      </c>
      <c r="AH13" s="9">
        <f t="shared" si="13"/>
        <v>1470.5128205128206</v>
      </c>
      <c r="AI13" s="9">
        <f t="shared" si="24"/>
        <v>10293.589743589744</v>
      </c>
      <c r="AK13" s="8">
        <f t="shared" si="14"/>
        <v>8373.0769230769201</v>
      </c>
      <c r="AL13" s="14" t="str">
        <f t="shared" si="15"/>
        <v/>
      </c>
    </row>
    <row r="14" spans="1:38" x14ac:dyDescent="0.45">
      <c r="A14" s="6">
        <f t="shared" si="0"/>
        <v>1</v>
      </c>
      <c r="B14" s="38">
        <v>8</v>
      </c>
      <c r="C14" s="38" t="str">
        <f t="shared" si="9"/>
        <v/>
      </c>
      <c r="D14" s="14" t="str">
        <f t="shared" si="10"/>
        <v>Iteration 8</v>
      </c>
      <c r="E14" s="7">
        <f>E13+Parameters!$B$6</f>
        <v>14</v>
      </c>
      <c r="F14" s="8">
        <f>Parameters!$E$4</f>
        <v>40</v>
      </c>
      <c r="G14" s="8">
        <f t="shared" si="16"/>
        <v>320</v>
      </c>
      <c r="H14" s="2"/>
      <c r="I14" s="24">
        <f t="shared" si="1"/>
        <v>53.333333333333329</v>
      </c>
      <c r="J14" s="9">
        <f>I14*Parameters!$B$17</f>
        <v>2400</v>
      </c>
      <c r="K14" s="9">
        <f t="shared" si="17"/>
        <v>10800</v>
      </c>
      <c r="L14" s="24">
        <f t="shared" si="2"/>
        <v>26.666666666666664</v>
      </c>
      <c r="M14" s="9">
        <f>L14*Parameters!$B$18</f>
        <v>2933.333333333333</v>
      </c>
      <c r="N14" s="9">
        <f t="shared" si="18"/>
        <v>13200</v>
      </c>
      <c r="O14" s="24">
        <f>$G14*Parameters!$E$5/60</f>
        <v>80</v>
      </c>
      <c r="P14" s="24">
        <f t="shared" si="19"/>
        <v>360</v>
      </c>
      <c r="Q14" s="40">
        <f t="shared" si="3"/>
        <v>1</v>
      </c>
      <c r="R14" s="41" t="str">
        <f t="shared" si="11"/>
        <v>overloaded</v>
      </c>
      <c r="S14" s="9">
        <f t="shared" si="12"/>
        <v>5333.333333333333</v>
      </c>
      <c r="T14" s="9">
        <f t="shared" si="20"/>
        <v>23999.999999999996</v>
      </c>
      <c r="V14" s="24">
        <f t="shared" si="4"/>
        <v>6.6666666666666661</v>
      </c>
      <c r="W14" s="9">
        <f>V14*Parameters!$B$17</f>
        <v>300</v>
      </c>
      <c r="X14" s="9">
        <f t="shared" si="21"/>
        <v>2400</v>
      </c>
      <c r="Y14" s="24">
        <f t="shared" si="5"/>
        <v>3.333333333333333</v>
      </c>
      <c r="Z14" s="9">
        <f>Y14*Parameters!$B$18</f>
        <v>366.66666666666663</v>
      </c>
      <c r="AA14" s="9">
        <f t="shared" si="22"/>
        <v>2933.3333333333326</v>
      </c>
      <c r="AB14" s="9">
        <f>DurationOfIteration*Parameters!$H$8</f>
        <v>634.61538461538464</v>
      </c>
      <c r="AC14" s="9">
        <f t="shared" si="6"/>
        <v>46.153846153846153</v>
      </c>
      <c r="AD14" s="9">
        <f t="shared" si="7"/>
        <v>123.07692307692309</v>
      </c>
      <c r="AE14" s="24">
        <f>$F14*Parameters!$E$6/60</f>
        <v>10</v>
      </c>
      <c r="AF14" s="24">
        <f t="shared" si="23"/>
        <v>80</v>
      </c>
      <c r="AG14" s="40">
        <f t="shared" si="8"/>
        <v>0.125</v>
      </c>
      <c r="AH14" s="9">
        <f t="shared" si="13"/>
        <v>1470.5128205128206</v>
      </c>
      <c r="AI14" s="9">
        <f t="shared" si="24"/>
        <v>11764.102564102564</v>
      </c>
      <c r="AK14" s="8">
        <f t="shared" si="14"/>
        <v>12235.897435897432</v>
      </c>
      <c r="AL14" s="14" t="str">
        <f t="shared" si="15"/>
        <v/>
      </c>
    </row>
    <row r="15" spans="1:38" x14ac:dyDescent="0.45">
      <c r="A15" s="6">
        <f t="shared" si="0"/>
        <v>1</v>
      </c>
      <c r="B15" s="38">
        <v>9</v>
      </c>
      <c r="C15" s="38" t="str">
        <f t="shared" si="9"/>
        <v/>
      </c>
      <c r="D15" s="14" t="str">
        <f t="shared" si="10"/>
        <v>Iteration 9</v>
      </c>
      <c r="E15" s="7">
        <f>E14+Parameters!$B$6</f>
        <v>16</v>
      </c>
      <c r="F15" s="8">
        <f>Parameters!$E$4</f>
        <v>40</v>
      </c>
      <c r="G15" s="8">
        <f t="shared" si="16"/>
        <v>360</v>
      </c>
      <c r="H15" s="2"/>
      <c r="I15" s="24">
        <f t="shared" si="1"/>
        <v>60</v>
      </c>
      <c r="J15" s="9">
        <f>I15*Parameters!$B$17</f>
        <v>2700</v>
      </c>
      <c r="K15" s="9">
        <f t="shared" si="17"/>
        <v>13500</v>
      </c>
      <c r="L15" s="24">
        <f t="shared" si="2"/>
        <v>30</v>
      </c>
      <c r="M15" s="9">
        <f>L15*Parameters!$B$18</f>
        <v>3300</v>
      </c>
      <c r="N15" s="9">
        <f t="shared" si="18"/>
        <v>16500</v>
      </c>
      <c r="O15" s="24">
        <f>$G15*Parameters!$E$5/60</f>
        <v>90</v>
      </c>
      <c r="P15" s="24">
        <f t="shared" si="19"/>
        <v>450</v>
      </c>
      <c r="Q15" s="40">
        <f t="shared" si="3"/>
        <v>1.125</v>
      </c>
      <c r="R15" s="41" t="str">
        <f t="shared" si="11"/>
        <v>overloaded</v>
      </c>
      <c r="S15" s="9">
        <f t="shared" si="12"/>
        <v>6000</v>
      </c>
      <c r="T15" s="9">
        <f t="shared" si="20"/>
        <v>29999.999999999996</v>
      </c>
      <c r="V15" s="24">
        <f t="shared" si="4"/>
        <v>6.6666666666666661</v>
      </c>
      <c r="W15" s="9">
        <f>V15*Parameters!$B$17</f>
        <v>300</v>
      </c>
      <c r="X15" s="9">
        <f t="shared" si="21"/>
        <v>2700</v>
      </c>
      <c r="Y15" s="24">
        <f t="shared" si="5"/>
        <v>3.333333333333333</v>
      </c>
      <c r="Z15" s="9">
        <f>Y15*Parameters!$B$18</f>
        <v>366.66666666666663</v>
      </c>
      <c r="AA15" s="9">
        <f t="shared" si="22"/>
        <v>3299.9999999999991</v>
      </c>
      <c r="AB15" s="9">
        <f>DurationOfIteration*Parameters!$H$8</f>
        <v>634.61538461538464</v>
      </c>
      <c r="AC15" s="9">
        <f t="shared" si="6"/>
        <v>46.153846153846153</v>
      </c>
      <c r="AD15" s="9">
        <f t="shared" si="7"/>
        <v>123.07692307692309</v>
      </c>
      <c r="AE15" s="24">
        <f>$F15*Parameters!$E$6/60</f>
        <v>10</v>
      </c>
      <c r="AF15" s="24">
        <f t="shared" si="23"/>
        <v>90</v>
      </c>
      <c r="AG15" s="40">
        <f t="shared" si="8"/>
        <v>0.125</v>
      </c>
      <c r="AH15" s="9">
        <f t="shared" si="13"/>
        <v>1470.5128205128206</v>
      </c>
      <c r="AI15" s="9">
        <f t="shared" si="24"/>
        <v>13234.615384615385</v>
      </c>
      <c r="AK15" s="8">
        <f t="shared" si="14"/>
        <v>16765.38461538461</v>
      </c>
      <c r="AL15" s="14" t="str">
        <f t="shared" si="15"/>
        <v/>
      </c>
    </row>
    <row r="16" spans="1:38" x14ac:dyDescent="0.45">
      <c r="A16" s="6">
        <f t="shared" si="0"/>
        <v>2</v>
      </c>
      <c r="B16" s="38">
        <v>10</v>
      </c>
      <c r="C16" s="38" t="str">
        <f t="shared" si="9"/>
        <v>Release 2</v>
      </c>
      <c r="D16" s="14" t="str">
        <f t="shared" si="10"/>
        <v>Iteration 10</v>
      </c>
      <c r="E16" s="7">
        <f>E15+Parameters!$B$6</f>
        <v>18</v>
      </c>
      <c r="F16" s="8">
        <f>Parameters!$E$4</f>
        <v>40</v>
      </c>
      <c r="G16" s="8">
        <f t="shared" si="16"/>
        <v>400</v>
      </c>
      <c r="H16" s="2"/>
      <c r="I16" s="24">
        <f t="shared" si="1"/>
        <v>66.666666666666657</v>
      </c>
      <c r="J16" s="9">
        <f>I16*Parameters!$B$17</f>
        <v>2999.9999999999995</v>
      </c>
      <c r="K16" s="9">
        <f t="shared" si="17"/>
        <v>16500</v>
      </c>
      <c r="L16" s="24">
        <f t="shared" si="2"/>
        <v>33.333333333333329</v>
      </c>
      <c r="M16" s="9">
        <f>L16*Parameters!$B$18</f>
        <v>3666.6666666666661</v>
      </c>
      <c r="N16" s="9">
        <f t="shared" si="18"/>
        <v>20166.666666666664</v>
      </c>
      <c r="O16" s="24">
        <f>$G16*Parameters!$E$5/60</f>
        <v>100</v>
      </c>
      <c r="P16" s="24">
        <f t="shared" si="19"/>
        <v>550</v>
      </c>
      <c r="Q16" s="40">
        <f t="shared" si="3"/>
        <v>1.25</v>
      </c>
      <c r="R16" s="41" t="str">
        <f t="shared" si="11"/>
        <v>overloaded</v>
      </c>
      <c r="S16" s="9">
        <f t="shared" si="12"/>
        <v>6666.6666666666661</v>
      </c>
      <c r="T16" s="9">
        <f t="shared" si="20"/>
        <v>36666.666666666664</v>
      </c>
      <c r="V16" s="24">
        <f t="shared" si="4"/>
        <v>6.6666666666666661</v>
      </c>
      <c r="W16" s="9">
        <f>V16*Parameters!$B$17</f>
        <v>300</v>
      </c>
      <c r="X16" s="9">
        <f t="shared" si="21"/>
        <v>3000</v>
      </c>
      <c r="Y16" s="24">
        <f t="shared" si="5"/>
        <v>3.333333333333333</v>
      </c>
      <c r="Z16" s="9">
        <f>Y16*Parameters!$B$18</f>
        <v>366.66666666666663</v>
      </c>
      <c r="AA16" s="9">
        <f t="shared" si="22"/>
        <v>3666.6666666666656</v>
      </c>
      <c r="AB16" s="9">
        <f>DurationOfIteration*Parameters!$H$8</f>
        <v>634.61538461538464</v>
      </c>
      <c r="AC16" s="9">
        <f t="shared" si="6"/>
        <v>46.153846153846153</v>
      </c>
      <c r="AD16" s="9">
        <f t="shared" si="7"/>
        <v>123.07692307692309</v>
      </c>
      <c r="AE16" s="24">
        <f>$F16*Parameters!$E$6/60</f>
        <v>10</v>
      </c>
      <c r="AF16" s="24">
        <f t="shared" si="23"/>
        <v>100</v>
      </c>
      <c r="AG16" s="40">
        <f t="shared" si="8"/>
        <v>0.125</v>
      </c>
      <c r="AH16" s="9">
        <f t="shared" si="13"/>
        <v>1470.5128205128206</v>
      </c>
      <c r="AI16" s="9">
        <f t="shared" si="24"/>
        <v>14705.128205128205</v>
      </c>
      <c r="AK16" s="8">
        <f t="shared" si="14"/>
        <v>21961.538461538461</v>
      </c>
      <c r="AL16" s="14" t="str">
        <f t="shared" si="15"/>
        <v/>
      </c>
    </row>
    <row r="17" spans="1:38" x14ac:dyDescent="0.45">
      <c r="A17" s="6">
        <f t="shared" si="0"/>
        <v>2</v>
      </c>
      <c r="B17" s="38">
        <v>11</v>
      </c>
      <c r="C17" s="38" t="str">
        <f t="shared" si="9"/>
        <v/>
      </c>
      <c r="D17" s="14" t="str">
        <f t="shared" si="10"/>
        <v>Iteration 11</v>
      </c>
      <c r="E17" s="7">
        <f>E16+Parameters!$B$6</f>
        <v>20</v>
      </c>
      <c r="F17" s="8">
        <f>Parameters!$E$4</f>
        <v>40</v>
      </c>
      <c r="G17" s="8">
        <f t="shared" si="16"/>
        <v>440</v>
      </c>
      <c r="H17" s="2"/>
      <c r="I17" s="24">
        <f t="shared" si="1"/>
        <v>73.333333333333329</v>
      </c>
      <c r="J17" s="9">
        <f>I17*Parameters!$B$17</f>
        <v>3300</v>
      </c>
      <c r="K17" s="9">
        <f t="shared" si="17"/>
        <v>19800</v>
      </c>
      <c r="L17" s="24">
        <f t="shared" si="2"/>
        <v>36.666666666666664</v>
      </c>
      <c r="M17" s="9">
        <f>L17*Parameters!$B$18</f>
        <v>4033.333333333333</v>
      </c>
      <c r="N17" s="9">
        <f t="shared" si="18"/>
        <v>24199.999999999996</v>
      </c>
      <c r="O17" s="24">
        <f>$G17*Parameters!$E$5/60</f>
        <v>110</v>
      </c>
      <c r="P17" s="24">
        <f t="shared" si="19"/>
        <v>660</v>
      </c>
      <c r="Q17" s="40">
        <f t="shared" si="3"/>
        <v>1.375</v>
      </c>
      <c r="R17" s="41" t="str">
        <f t="shared" si="11"/>
        <v>overloaded</v>
      </c>
      <c r="S17" s="9">
        <f t="shared" si="12"/>
        <v>7333.333333333333</v>
      </c>
      <c r="T17" s="9">
        <f t="shared" si="20"/>
        <v>44000</v>
      </c>
      <c r="V17" s="24">
        <f t="shared" si="4"/>
        <v>6.6666666666666661</v>
      </c>
      <c r="W17" s="9">
        <f>V17*Parameters!$B$17</f>
        <v>300</v>
      </c>
      <c r="X17" s="9">
        <f t="shared" si="21"/>
        <v>3300</v>
      </c>
      <c r="Y17" s="24">
        <f t="shared" si="5"/>
        <v>3.333333333333333</v>
      </c>
      <c r="Z17" s="9">
        <f>Y17*Parameters!$B$18</f>
        <v>366.66666666666663</v>
      </c>
      <c r="AA17" s="9">
        <f t="shared" si="22"/>
        <v>4033.3333333333321</v>
      </c>
      <c r="AB17" s="9">
        <f>DurationOfIteration*Parameters!$H$8</f>
        <v>634.61538461538464</v>
      </c>
      <c r="AC17" s="9">
        <f t="shared" si="6"/>
        <v>46.153846153846153</v>
      </c>
      <c r="AD17" s="9">
        <f t="shared" si="7"/>
        <v>123.07692307692309</v>
      </c>
      <c r="AE17" s="24">
        <f>$F17*Parameters!$E$6/60</f>
        <v>10</v>
      </c>
      <c r="AF17" s="24">
        <f t="shared" si="23"/>
        <v>110</v>
      </c>
      <c r="AG17" s="40">
        <f t="shared" si="8"/>
        <v>0.125</v>
      </c>
      <c r="AH17" s="9">
        <f t="shared" si="13"/>
        <v>1470.5128205128206</v>
      </c>
      <c r="AI17" s="9">
        <f t="shared" si="24"/>
        <v>16175.641025641025</v>
      </c>
      <c r="AK17" s="8">
        <f t="shared" si="14"/>
        <v>27824.358974358976</v>
      </c>
      <c r="AL17" s="14" t="str">
        <f t="shared" si="15"/>
        <v/>
      </c>
    </row>
    <row r="18" spans="1:38" x14ac:dyDescent="0.45">
      <c r="A18" s="6">
        <f t="shared" si="0"/>
        <v>2</v>
      </c>
      <c r="B18" s="38">
        <v>12</v>
      </c>
      <c r="C18" s="38" t="str">
        <f t="shared" si="9"/>
        <v/>
      </c>
      <c r="D18" s="14" t="str">
        <f t="shared" si="10"/>
        <v>Iteration 12</v>
      </c>
      <c r="E18" s="7">
        <f>E17+Parameters!$B$6</f>
        <v>22</v>
      </c>
      <c r="F18" s="8">
        <f>Parameters!$E$4</f>
        <v>40</v>
      </c>
      <c r="G18" s="8">
        <f t="shared" si="16"/>
        <v>480</v>
      </c>
      <c r="H18" s="2"/>
      <c r="I18" s="24">
        <f t="shared" si="1"/>
        <v>80</v>
      </c>
      <c r="J18" s="9">
        <f>I18*Parameters!$B$17</f>
        <v>3600</v>
      </c>
      <c r="K18" s="9">
        <f t="shared" si="17"/>
        <v>23400</v>
      </c>
      <c r="L18" s="24">
        <f t="shared" si="2"/>
        <v>40</v>
      </c>
      <c r="M18" s="9">
        <f>L18*Parameters!$B$18</f>
        <v>4400</v>
      </c>
      <c r="N18" s="9">
        <f t="shared" si="18"/>
        <v>28599.999999999996</v>
      </c>
      <c r="O18" s="24">
        <f>$G18*Parameters!$E$5/60</f>
        <v>120</v>
      </c>
      <c r="P18" s="24">
        <f t="shared" si="19"/>
        <v>780</v>
      </c>
      <c r="Q18" s="40">
        <f t="shared" si="3"/>
        <v>1.5</v>
      </c>
      <c r="R18" s="41" t="str">
        <f t="shared" si="11"/>
        <v>overloaded</v>
      </c>
      <c r="S18" s="9">
        <f t="shared" si="12"/>
        <v>8000</v>
      </c>
      <c r="T18" s="9">
        <f t="shared" si="20"/>
        <v>52000</v>
      </c>
      <c r="V18" s="24">
        <f t="shared" si="4"/>
        <v>6.6666666666666661</v>
      </c>
      <c r="W18" s="9">
        <f>V18*Parameters!$B$17</f>
        <v>300</v>
      </c>
      <c r="X18" s="9">
        <f t="shared" si="21"/>
        <v>3600</v>
      </c>
      <c r="Y18" s="24">
        <f t="shared" si="5"/>
        <v>3.333333333333333</v>
      </c>
      <c r="Z18" s="9">
        <f>Y18*Parameters!$B$18</f>
        <v>366.66666666666663</v>
      </c>
      <c r="AA18" s="9">
        <f t="shared" si="22"/>
        <v>4399.9999999999991</v>
      </c>
      <c r="AB18" s="9">
        <f>DurationOfIteration*Parameters!$H$8</f>
        <v>634.61538461538464</v>
      </c>
      <c r="AC18" s="9">
        <f t="shared" si="6"/>
        <v>46.153846153846153</v>
      </c>
      <c r="AD18" s="9">
        <f t="shared" si="7"/>
        <v>123.07692307692309</v>
      </c>
      <c r="AE18" s="24">
        <f>$F18*Parameters!$E$6/60</f>
        <v>10</v>
      </c>
      <c r="AF18" s="24">
        <f t="shared" si="23"/>
        <v>120</v>
      </c>
      <c r="AG18" s="40">
        <f t="shared" si="8"/>
        <v>0.125</v>
      </c>
      <c r="AH18" s="9">
        <f t="shared" si="13"/>
        <v>1470.5128205128206</v>
      </c>
      <c r="AI18" s="9">
        <f t="shared" si="24"/>
        <v>17646.153846153848</v>
      </c>
      <c r="AK18" s="8">
        <f t="shared" si="14"/>
        <v>34353.846153846156</v>
      </c>
      <c r="AL18" s="14" t="str">
        <f t="shared" si="15"/>
        <v/>
      </c>
    </row>
    <row r="19" spans="1:38" x14ac:dyDescent="0.45">
      <c r="A19" s="6">
        <f t="shared" si="0"/>
        <v>2</v>
      </c>
      <c r="B19" s="38">
        <v>13</v>
      </c>
      <c r="C19" s="38" t="str">
        <f t="shared" si="9"/>
        <v/>
      </c>
      <c r="D19" s="14" t="str">
        <f t="shared" si="10"/>
        <v>Iteration 13</v>
      </c>
      <c r="E19" s="7">
        <f>E18+Parameters!$B$6</f>
        <v>24</v>
      </c>
      <c r="F19" s="8">
        <f>Parameters!$E$4</f>
        <v>40</v>
      </c>
      <c r="G19" s="8">
        <f t="shared" si="16"/>
        <v>520</v>
      </c>
      <c r="H19" s="2"/>
      <c r="I19" s="24">
        <f t="shared" si="1"/>
        <v>86.666666666666657</v>
      </c>
      <c r="J19" s="9">
        <f>I19*Parameters!$B$17</f>
        <v>3899.9999999999995</v>
      </c>
      <c r="K19" s="9">
        <f t="shared" si="17"/>
        <v>27300</v>
      </c>
      <c r="L19" s="24">
        <f t="shared" si="2"/>
        <v>43.333333333333329</v>
      </c>
      <c r="M19" s="9">
        <f>L19*Parameters!$B$18</f>
        <v>4766.6666666666661</v>
      </c>
      <c r="N19" s="9">
        <f t="shared" si="18"/>
        <v>33366.666666666664</v>
      </c>
      <c r="O19" s="24">
        <f>$G19*Parameters!$E$5/60</f>
        <v>130</v>
      </c>
      <c r="P19" s="24">
        <f t="shared" si="19"/>
        <v>910</v>
      </c>
      <c r="Q19" s="40">
        <f t="shared" si="3"/>
        <v>1.625</v>
      </c>
      <c r="R19" s="41" t="str">
        <f t="shared" si="11"/>
        <v>overloaded</v>
      </c>
      <c r="S19" s="9">
        <f t="shared" si="12"/>
        <v>8666.6666666666661</v>
      </c>
      <c r="T19" s="9">
        <f t="shared" si="20"/>
        <v>60666.666666666664</v>
      </c>
      <c r="V19" s="24">
        <f t="shared" si="4"/>
        <v>6.6666666666666661</v>
      </c>
      <c r="W19" s="9">
        <f>V19*Parameters!$B$17</f>
        <v>300</v>
      </c>
      <c r="X19" s="9">
        <f t="shared" si="21"/>
        <v>3900</v>
      </c>
      <c r="Y19" s="24">
        <f t="shared" si="5"/>
        <v>3.333333333333333</v>
      </c>
      <c r="Z19" s="9">
        <f>Y19*Parameters!$B$18</f>
        <v>366.66666666666663</v>
      </c>
      <c r="AA19" s="9">
        <f t="shared" si="22"/>
        <v>4766.6666666666661</v>
      </c>
      <c r="AB19" s="9">
        <f>DurationOfIteration*Parameters!$H$8</f>
        <v>634.61538461538464</v>
      </c>
      <c r="AC19" s="9">
        <f t="shared" si="6"/>
        <v>46.153846153846153</v>
      </c>
      <c r="AD19" s="9">
        <f t="shared" si="7"/>
        <v>123.07692307692309</v>
      </c>
      <c r="AE19" s="24">
        <f>$F19*Parameters!$E$6/60</f>
        <v>10</v>
      </c>
      <c r="AF19" s="24">
        <f t="shared" si="23"/>
        <v>130</v>
      </c>
      <c r="AG19" s="40">
        <f t="shared" si="8"/>
        <v>0.125</v>
      </c>
      <c r="AH19" s="9">
        <f t="shared" si="13"/>
        <v>1470.5128205128206</v>
      </c>
      <c r="AI19" s="9">
        <f t="shared" si="24"/>
        <v>19116.666666666668</v>
      </c>
      <c r="AK19" s="8">
        <f t="shared" si="14"/>
        <v>41550</v>
      </c>
      <c r="AL19" s="14" t="str">
        <f t="shared" si="15"/>
        <v/>
      </c>
    </row>
    <row r="20" spans="1:38" x14ac:dyDescent="0.45">
      <c r="A20" s="6">
        <f t="shared" si="0"/>
        <v>2</v>
      </c>
      <c r="B20" s="38">
        <v>14</v>
      </c>
      <c r="C20" s="38" t="str">
        <f t="shared" si="9"/>
        <v/>
      </c>
      <c r="D20" s="14" t="str">
        <f t="shared" si="10"/>
        <v>Iteration 14</v>
      </c>
      <c r="E20" s="7">
        <f>E19+Parameters!$B$6</f>
        <v>26</v>
      </c>
      <c r="F20" s="8">
        <f>Parameters!$E$4</f>
        <v>40</v>
      </c>
      <c r="G20" s="8">
        <f t="shared" si="16"/>
        <v>560</v>
      </c>
      <c r="H20" s="2"/>
      <c r="I20" s="24">
        <f t="shared" si="1"/>
        <v>93.333333333333329</v>
      </c>
      <c r="J20" s="9">
        <f>I20*Parameters!$B$17</f>
        <v>4200</v>
      </c>
      <c r="K20" s="9">
        <f t="shared" si="17"/>
        <v>31500</v>
      </c>
      <c r="L20" s="24">
        <f t="shared" si="2"/>
        <v>46.666666666666664</v>
      </c>
      <c r="M20" s="9">
        <f>L20*Parameters!$B$18</f>
        <v>5133.333333333333</v>
      </c>
      <c r="N20" s="9">
        <f t="shared" si="18"/>
        <v>38500</v>
      </c>
      <c r="O20" s="24">
        <f>$G20*Parameters!$E$5/60</f>
        <v>140</v>
      </c>
      <c r="P20" s="24">
        <f t="shared" si="19"/>
        <v>1050</v>
      </c>
      <c r="Q20" s="40">
        <f t="shared" si="3"/>
        <v>1.75</v>
      </c>
      <c r="R20" s="41" t="str">
        <f t="shared" si="11"/>
        <v>overloaded</v>
      </c>
      <c r="S20" s="9">
        <f t="shared" si="12"/>
        <v>9333.3333333333321</v>
      </c>
      <c r="T20" s="9">
        <f t="shared" si="20"/>
        <v>70000</v>
      </c>
      <c r="V20" s="24">
        <f t="shared" si="4"/>
        <v>6.6666666666666661</v>
      </c>
      <c r="W20" s="9">
        <f>V20*Parameters!$B$17</f>
        <v>300</v>
      </c>
      <c r="X20" s="9">
        <f t="shared" si="21"/>
        <v>4200</v>
      </c>
      <c r="Y20" s="24">
        <f t="shared" si="5"/>
        <v>3.333333333333333</v>
      </c>
      <c r="Z20" s="9">
        <f>Y20*Parameters!$B$18</f>
        <v>366.66666666666663</v>
      </c>
      <c r="AA20" s="9">
        <f t="shared" si="22"/>
        <v>5133.333333333333</v>
      </c>
      <c r="AB20" s="9">
        <f>DurationOfIteration*Parameters!$H$8</f>
        <v>634.61538461538464</v>
      </c>
      <c r="AC20" s="9">
        <f t="shared" si="6"/>
        <v>46.153846153846153</v>
      </c>
      <c r="AD20" s="9">
        <f t="shared" si="7"/>
        <v>123.07692307692309</v>
      </c>
      <c r="AE20" s="24">
        <f>$F20*Parameters!$E$6/60</f>
        <v>10</v>
      </c>
      <c r="AF20" s="24">
        <f t="shared" si="23"/>
        <v>140</v>
      </c>
      <c r="AG20" s="40">
        <f t="shared" si="8"/>
        <v>0.125</v>
      </c>
      <c r="AH20" s="9">
        <f t="shared" si="13"/>
        <v>1470.5128205128206</v>
      </c>
      <c r="AI20" s="9">
        <f t="shared" si="24"/>
        <v>20587.179487179488</v>
      </c>
      <c r="AK20" s="8">
        <f t="shared" si="14"/>
        <v>49412.820512820515</v>
      </c>
      <c r="AL20" s="14" t="str">
        <f t="shared" si="15"/>
        <v/>
      </c>
    </row>
    <row r="21" spans="1:38" x14ac:dyDescent="0.45">
      <c r="A21" s="6">
        <f t="shared" si="0"/>
        <v>2</v>
      </c>
      <c r="B21" s="38">
        <v>15</v>
      </c>
      <c r="C21" s="38" t="str">
        <f t="shared" si="9"/>
        <v/>
      </c>
      <c r="D21" s="14" t="str">
        <f t="shared" si="10"/>
        <v>Iteration 15</v>
      </c>
      <c r="E21" s="7">
        <f>E20+Parameters!$B$6</f>
        <v>28</v>
      </c>
      <c r="F21" s="8">
        <f>Parameters!$E$4</f>
        <v>40</v>
      </c>
      <c r="G21" s="8">
        <f t="shared" si="16"/>
        <v>600</v>
      </c>
      <c r="H21" s="2"/>
      <c r="I21" s="24">
        <f t="shared" si="1"/>
        <v>100</v>
      </c>
      <c r="J21" s="9">
        <f>I21*Parameters!$B$17</f>
        <v>4500</v>
      </c>
      <c r="K21" s="9">
        <f t="shared" si="17"/>
        <v>36000</v>
      </c>
      <c r="L21" s="24">
        <f t="shared" si="2"/>
        <v>50</v>
      </c>
      <c r="M21" s="9">
        <f>L21*Parameters!$B$18</f>
        <v>5500</v>
      </c>
      <c r="N21" s="9">
        <f t="shared" si="18"/>
        <v>44000</v>
      </c>
      <c r="O21" s="24">
        <f>$G21*Parameters!$E$5/60</f>
        <v>150</v>
      </c>
      <c r="P21" s="24">
        <f t="shared" si="19"/>
        <v>1200</v>
      </c>
      <c r="Q21" s="40">
        <f t="shared" si="3"/>
        <v>1.875</v>
      </c>
      <c r="R21" s="41" t="str">
        <f t="shared" si="11"/>
        <v>overloaded</v>
      </c>
      <c r="S21" s="9">
        <f t="shared" si="12"/>
        <v>10000</v>
      </c>
      <c r="T21" s="9">
        <f t="shared" si="20"/>
        <v>80000</v>
      </c>
      <c r="V21" s="24">
        <f t="shared" si="4"/>
        <v>6.6666666666666661</v>
      </c>
      <c r="W21" s="9">
        <f>V21*Parameters!$B$17</f>
        <v>300</v>
      </c>
      <c r="X21" s="9">
        <f t="shared" si="21"/>
        <v>4500</v>
      </c>
      <c r="Y21" s="24">
        <f t="shared" si="5"/>
        <v>3.333333333333333</v>
      </c>
      <c r="Z21" s="9">
        <f>Y21*Parameters!$B$18</f>
        <v>366.66666666666663</v>
      </c>
      <c r="AA21" s="9">
        <f t="shared" si="22"/>
        <v>5500</v>
      </c>
      <c r="AB21" s="9">
        <f>DurationOfIteration*Parameters!$H$8</f>
        <v>634.61538461538464</v>
      </c>
      <c r="AC21" s="9">
        <f t="shared" si="6"/>
        <v>46.153846153846153</v>
      </c>
      <c r="AD21" s="9">
        <f t="shared" si="7"/>
        <v>123.07692307692309</v>
      </c>
      <c r="AE21" s="24">
        <f>$F21*Parameters!$E$6/60</f>
        <v>10</v>
      </c>
      <c r="AF21" s="24">
        <f t="shared" si="23"/>
        <v>150</v>
      </c>
      <c r="AG21" s="40">
        <f t="shared" si="8"/>
        <v>0.125</v>
      </c>
      <c r="AH21" s="9">
        <f t="shared" si="13"/>
        <v>1470.5128205128206</v>
      </c>
      <c r="AI21" s="9">
        <f t="shared" si="24"/>
        <v>22057.692307692309</v>
      </c>
      <c r="AK21" s="8">
        <f t="shared" si="14"/>
        <v>57942.307692307688</v>
      </c>
      <c r="AL21" s="14" t="str">
        <f t="shared" si="15"/>
        <v/>
      </c>
    </row>
    <row r="22" spans="1:38" x14ac:dyDescent="0.45">
      <c r="A22" s="6">
        <f t="shared" si="0"/>
        <v>2</v>
      </c>
      <c r="B22" s="38">
        <v>16</v>
      </c>
      <c r="C22" s="38" t="str">
        <f t="shared" si="9"/>
        <v/>
      </c>
      <c r="D22" s="14" t="str">
        <f t="shared" si="10"/>
        <v>Iteration 16</v>
      </c>
      <c r="E22" s="7">
        <f>E21+Parameters!$B$6</f>
        <v>30</v>
      </c>
      <c r="F22" s="8">
        <f>Parameters!$E$4</f>
        <v>40</v>
      </c>
      <c r="G22" s="8">
        <f t="shared" si="16"/>
        <v>640</v>
      </c>
      <c r="H22" s="2"/>
      <c r="I22" s="24">
        <f t="shared" si="1"/>
        <v>106.66666666666666</v>
      </c>
      <c r="J22" s="9">
        <f>I22*Parameters!$B$17</f>
        <v>4800</v>
      </c>
      <c r="K22" s="9">
        <f t="shared" si="17"/>
        <v>40800</v>
      </c>
      <c r="L22" s="24">
        <f t="shared" si="2"/>
        <v>53.333333333333329</v>
      </c>
      <c r="M22" s="9">
        <f>L22*Parameters!$B$18</f>
        <v>5866.6666666666661</v>
      </c>
      <c r="N22" s="9">
        <f t="shared" si="18"/>
        <v>49866.666666666664</v>
      </c>
      <c r="O22" s="24">
        <f>$G22*Parameters!$E$5/60</f>
        <v>160</v>
      </c>
      <c r="P22" s="24">
        <f t="shared" si="19"/>
        <v>1360</v>
      </c>
      <c r="Q22" s="40">
        <f t="shared" si="3"/>
        <v>2</v>
      </c>
      <c r="R22" s="41" t="str">
        <f t="shared" si="11"/>
        <v>overloaded</v>
      </c>
      <c r="S22" s="9">
        <f t="shared" si="12"/>
        <v>10666.666666666666</v>
      </c>
      <c r="T22" s="9">
        <f t="shared" si="20"/>
        <v>90666.666666666672</v>
      </c>
      <c r="V22" s="24">
        <f t="shared" si="4"/>
        <v>6.6666666666666661</v>
      </c>
      <c r="W22" s="9">
        <f>V22*Parameters!$B$17</f>
        <v>300</v>
      </c>
      <c r="X22" s="9">
        <f t="shared" si="21"/>
        <v>4800</v>
      </c>
      <c r="Y22" s="24">
        <f t="shared" si="5"/>
        <v>3.333333333333333</v>
      </c>
      <c r="Z22" s="9">
        <f>Y22*Parameters!$B$18</f>
        <v>366.66666666666663</v>
      </c>
      <c r="AA22" s="9">
        <f t="shared" si="22"/>
        <v>5866.666666666667</v>
      </c>
      <c r="AB22" s="9">
        <f>DurationOfIteration*Parameters!$H$8</f>
        <v>634.61538461538464</v>
      </c>
      <c r="AC22" s="9">
        <f t="shared" si="6"/>
        <v>46.153846153846153</v>
      </c>
      <c r="AD22" s="9">
        <f t="shared" si="7"/>
        <v>123.07692307692309</v>
      </c>
      <c r="AE22" s="24">
        <f>$F22*Parameters!$E$6/60</f>
        <v>10</v>
      </c>
      <c r="AF22" s="24">
        <f t="shared" si="23"/>
        <v>160</v>
      </c>
      <c r="AG22" s="40">
        <f t="shared" si="8"/>
        <v>0.125</v>
      </c>
      <c r="AH22" s="9">
        <f t="shared" si="13"/>
        <v>1470.5128205128206</v>
      </c>
      <c r="AI22" s="9">
        <f t="shared" si="24"/>
        <v>23528.205128205129</v>
      </c>
      <c r="AK22" s="8">
        <f t="shared" si="14"/>
        <v>67138.461538461546</v>
      </c>
      <c r="AL22" s="14" t="str">
        <f t="shared" si="15"/>
        <v/>
      </c>
    </row>
    <row r="23" spans="1:38" x14ac:dyDescent="0.45">
      <c r="A23" s="6">
        <f t="shared" si="0"/>
        <v>2</v>
      </c>
      <c r="B23" s="38">
        <v>17</v>
      </c>
      <c r="C23" s="38" t="str">
        <f t="shared" si="9"/>
        <v/>
      </c>
      <c r="D23" s="14" t="str">
        <f t="shared" si="10"/>
        <v>Iteration 17</v>
      </c>
      <c r="E23" s="7">
        <f>E22+Parameters!$B$6</f>
        <v>32</v>
      </c>
      <c r="F23" s="8">
        <f>Parameters!$E$4</f>
        <v>40</v>
      </c>
      <c r="G23" s="8">
        <f t="shared" si="16"/>
        <v>680</v>
      </c>
      <c r="H23" s="2"/>
      <c r="I23" s="24">
        <f t="shared" si="1"/>
        <v>113.33333333333333</v>
      </c>
      <c r="J23" s="9">
        <f>I23*Parameters!$B$17</f>
        <v>5100</v>
      </c>
      <c r="K23" s="9">
        <f t="shared" si="17"/>
        <v>45900</v>
      </c>
      <c r="L23" s="24">
        <f t="shared" si="2"/>
        <v>56.666666666666664</v>
      </c>
      <c r="M23" s="9">
        <f>L23*Parameters!$B$18</f>
        <v>6233.333333333333</v>
      </c>
      <c r="N23" s="9">
        <f t="shared" si="18"/>
        <v>56100</v>
      </c>
      <c r="O23" s="24">
        <f>$G23*Parameters!$E$5/60</f>
        <v>170</v>
      </c>
      <c r="P23" s="24">
        <f t="shared" si="19"/>
        <v>1530</v>
      </c>
      <c r="Q23" s="40">
        <f t="shared" si="3"/>
        <v>2.125</v>
      </c>
      <c r="R23" s="41" t="str">
        <f t="shared" si="11"/>
        <v>overloaded</v>
      </c>
      <c r="S23" s="9">
        <f t="shared" si="12"/>
        <v>11333.333333333332</v>
      </c>
      <c r="T23" s="9">
        <f t="shared" si="20"/>
        <v>102000</v>
      </c>
      <c r="V23" s="24">
        <f t="shared" si="4"/>
        <v>6.6666666666666661</v>
      </c>
      <c r="W23" s="9">
        <f>V23*Parameters!$B$17</f>
        <v>300</v>
      </c>
      <c r="X23" s="9">
        <f t="shared" si="21"/>
        <v>5100</v>
      </c>
      <c r="Y23" s="24">
        <f t="shared" si="5"/>
        <v>3.333333333333333</v>
      </c>
      <c r="Z23" s="9">
        <f>Y23*Parameters!$B$18</f>
        <v>366.66666666666663</v>
      </c>
      <c r="AA23" s="9">
        <f t="shared" si="22"/>
        <v>6233.3333333333339</v>
      </c>
      <c r="AB23" s="9">
        <f>DurationOfIteration*Parameters!$H$8</f>
        <v>634.61538461538464</v>
      </c>
      <c r="AC23" s="9">
        <f t="shared" si="6"/>
        <v>46.153846153846153</v>
      </c>
      <c r="AD23" s="9">
        <f t="shared" si="7"/>
        <v>123.07692307692309</v>
      </c>
      <c r="AE23" s="24">
        <f>$F23*Parameters!$E$6/60</f>
        <v>10</v>
      </c>
      <c r="AF23" s="24">
        <f t="shared" si="23"/>
        <v>170</v>
      </c>
      <c r="AG23" s="40">
        <f t="shared" si="8"/>
        <v>0.125</v>
      </c>
      <c r="AH23" s="9">
        <f t="shared" si="13"/>
        <v>1470.5128205128206</v>
      </c>
      <c r="AI23" s="9">
        <f t="shared" si="24"/>
        <v>24998.717948717949</v>
      </c>
      <c r="AK23" s="8">
        <f t="shared" si="14"/>
        <v>77001.282051282047</v>
      </c>
      <c r="AL23" s="14" t="str">
        <f t="shared" si="15"/>
        <v/>
      </c>
    </row>
    <row r="24" spans="1:38" x14ac:dyDescent="0.45">
      <c r="A24" s="6">
        <f t="shared" si="0"/>
        <v>2</v>
      </c>
      <c r="B24" s="38">
        <v>18</v>
      </c>
      <c r="C24" s="38" t="str">
        <f t="shared" si="9"/>
        <v/>
      </c>
      <c r="D24" s="14" t="str">
        <f t="shared" si="10"/>
        <v>Iteration 18</v>
      </c>
      <c r="E24" s="7">
        <f>E23+Parameters!$B$6</f>
        <v>34</v>
      </c>
      <c r="F24" s="8">
        <f>Parameters!$E$4</f>
        <v>40</v>
      </c>
      <c r="G24" s="8">
        <f t="shared" si="16"/>
        <v>720</v>
      </c>
      <c r="H24" s="2"/>
      <c r="I24" s="24">
        <f t="shared" si="1"/>
        <v>120</v>
      </c>
      <c r="J24" s="9">
        <f>I24*Parameters!$B$17</f>
        <v>5400</v>
      </c>
      <c r="K24" s="9">
        <f t="shared" si="17"/>
        <v>51300</v>
      </c>
      <c r="L24" s="24">
        <f t="shared" si="2"/>
        <v>60</v>
      </c>
      <c r="M24" s="9">
        <f>L24*Parameters!$B$18</f>
        <v>6600</v>
      </c>
      <c r="N24" s="9">
        <f t="shared" si="18"/>
        <v>62700</v>
      </c>
      <c r="O24" s="24">
        <f>$G24*Parameters!$E$5/60</f>
        <v>180</v>
      </c>
      <c r="P24" s="24">
        <f t="shared" si="19"/>
        <v>1710</v>
      </c>
      <c r="Q24" s="40">
        <f t="shared" si="3"/>
        <v>2.25</v>
      </c>
      <c r="R24" s="41" t="str">
        <f t="shared" si="11"/>
        <v>overloaded</v>
      </c>
      <c r="S24" s="9">
        <f t="shared" si="12"/>
        <v>12000</v>
      </c>
      <c r="T24" s="9">
        <f t="shared" si="20"/>
        <v>114000</v>
      </c>
      <c r="V24" s="24">
        <f t="shared" si="4"/>
        <v>6.6666666666666661</v>
      </c>
      <c r="W24" s="9">
        <f>V24*Parameters!$B$17</f>
        <v>300</v>
      </c>
      <c r="X24" s="9">
        <f t="shared" si="21"/>
        <v>5400</v>
      </c>
      <c r="Y24" s="24">
        <f t="shared" si="5"/>
        <v>3.333333333333333</v>
      </c>
      <c r="Z24" s="9">
        <f>Y24*Parameters!$B$18</f>
        <v>366.66666666666663</v>
      </c>
      <c r="AA24" s="9">
        <f t="shared" si="22"/>
        <v>6600.0000000000009</v>
      </c>
      <c r="AB24" s="9">
        <f>DurationOfIteration*Parameters!$H$8</f>
        <v>634.61538461538464</v>
      </c>
      <c r="AC24" s="9">
        <f t="shared" si="6"/>
        <v>46.153846153846153</v>
      </c>
      <c r="AD24" s="9">
        <f t="shared" si="7"/>
        <v>123.07692307692309</v>
      </c>
      <c r="AE24" s="24">
        <f>$F24*Parameters!$E$6/60</f>
        <v>10</v>
      </c>
      <c r="AF24" s="24">
        <f t="shared" si="23"/>
        <v>180</v>
      </c>
      <c r="AG24" s="40">
        <f t="shared" si="8"/>
        <v>0.125</v>
      </c>
      <c r="AH24" s="9">
        <f t="shared" si="13"/>
        <v>1470.5128205128206</v>
      </c>
      <c r="AI24" s="9">
        <f t="shared" si="24"/>
        <v>26469.23076923077</v>
      </c>
      <c r="AK24" s="8">
        <f t="shared" si="14"/>
        <v>87530.769230769234</v>
      </c>
      <c r="AL24" s="14" t="str">
        <f t="shared" si="15"/>
        <v/>
      </c>
    </row>
    <row r="25" spans="1:38" x14ac:dyDescent="0.45">
      <c r="A25" s="6">
        <f t="shared" si="0"/>
        <v>3</v>
      </c>
      <c r="B25" s="38">
        <v>19</v>
      </c>
      <c r="C25" s="38" t="str">
        <f t="shared" si="9"/>
        <v>Release 3</v>
      </c>
      <c r="D25" s="14" t="str">
        <f t="shared" si="10"/>
        <v>Iteration 19</v>
      </c>
      <c r="E25" s="7">
        <f>E24+Parameters!$B$6</f>
        <v>36</v>
      </c>
      <c r="F25" s="8">
        <f>Parameters!$E$4</f>
        <v>40</v>
      </c>
      <c r="G25" s="8">
        <f t="shared" si="16"/>
        <v>760</v>
      </c>
      <c r="H25" s="2"/>
      <c r="I25" s="24">
        <f t="shared" si="1"/>
        <v>126.66666666666666</v>
      </c>
      <c r="J25" s="9">
        <f>I25*Parameters!$B$17</f>
        <v>5700</v>
      </c>
      <c r="K25" s="9">
        <f t="shared" si="17"/>
        <v>57000</v>
      </c>
      <c r="L25" s="24">
        <f t="shared" si="2"/>
        <v>63.333333333333329</v>
      </c>
      <c r="M25" s="9">
        <f>L25*Parameters!$B$18</f>
        <v>6966.6666666666661</v>
      </c>
      <c r="N25" s="9">
        <f t="shared" si="18"/>
        <v>69666.666666666672</v>
      </c>
      <c r="O25" s="24">
        <f>$G25*Parameters!$E$5/60</f>
        <v>190</v>
      </c>
      <c r="P25" s="24">
        <f t="shared" si="19"/>
        <v>1900</v>
      </c>
      <c r="Q25" s="40">
        <f t="shared" si="3"/>
        <v>2.375</v>
      </c>
      <c r="R25" s="41" t="str">
        <f t="shared" si="11"/>
        <v>overloaded</v>
      </c>
      <c r="S25" s="9">
        <f t="shared" si="12"/>
        <v>12666.666666666666</v>
      </c>
      <c r="T25" s="9">
        <f t="shared" si="20"/>
        <v>126666.66666666667</v>
      </c>
      <c r="V25" s="24">
        <f t="shared" si="4"/>
        <v>6.6666666666666661</v>
      </c>
      <c r="W25" s="9">
        <f>V25*Parameters!$B$17</f>
        <v>300</v>
      </c>
      <c r="X25" s="9">
        <f t="shared" si="21"/>
        <v>5700</v>
      </c>
      <c r="Y25" s="24">
        <f t="shared" si="5"/>
        <v>3.333333333333333</v>
      </c>
      <c r="Z25" s="9">
        <f>Y25*Parameters!$B$18</f>
        <v>366.66666666666663</v>
      </c>
      <c r="AA25" s="9">
        <f t="shared" si="22"/>
        <v>6966.6666666666679</v>
      </c>
      <c r="AB25" s="9">
        <f>DurationOfIteration*Parameters!$H$8</f>
        <v>634.61538461538464</v>
      </c>
      <c r="AC25" s="9">
        <f t="shared" si="6"/>
        <v>46.153846153846153</v>
      </c>
      <c r="AD25" s="9">
        <f t="shared" si="7"/>
        <v>123.07692307692309</v>
      </c>
      <c r="AE25" s="24">
        <f>$F25*Parameters!$E$6/60</f>
        <v>10</v>
      </c>
      <c r="AF25" s="24">
        <f t="shared" si="23"/>
        <v>190</v>
      </c>
      <c r="AG25" s="40">
        <f t="shared" si="8"/>
        <v>0.125</v>
      </c>
      <c r="AH25" s="9">
        <f t="shared" si="13"/>
        <v>1470.5128205128206</v>
      </c>
      <c r="AI25" s="9">
        <f t="shared" si="24"/>
        <v>27939.74358974359</v>
      </c>
      <c r="AK25" s="8">
        <f t="shared" si="14"/>
        <v>98726.923076923078</v>
      </c>
      <c r="AL25" s="14" t="str">
        <f t="shared" si="15"/>
        <v/>
      </c>
    </row>
    <row r="26" spans="1:38" x14ac:dyDescent="0.45">
      <c r="A26" s="6">
        <f t="shared" si="0"/>
        <v>3</v>
      </c>
      <c r="B26" s="38">
        <v>20</v>
      </c>
      <c r="C26" s="38" t="str">
        <f t="shared" si="9"/>
        <v/>
      </c>
      <c r="D26" s="14" t="str">
        <f t="shared" si="10"/>
        <v>Iteration 20</v>
      </c>
      <c r="E26" s="7">
        <f>E25+Parameters!$B$6</f>
        <v>38</v>
      </c>
      <c r="F26" s="8">
        <f>Parameters!$E$4</f>
        <v>40</v>
      </c>
      <c r="G26" s="8">
        <f t="shared" si="16"/>
        <v>800</v>
      </c>
      <c r="H26" s="2"/>
      <c r="I26" s="24">
        <f t="shared" si="1"/>
        <v>133.33333333333331</v>
      </c>
      <c r="J26" s="9">
        <f>I26*Parameters!$B$17</f>
        <v>5999.9999999999991</v>
      </c>
      <c r="K26" s="9">
        <f t="shared" si="17"/>
        <v>63000</v>
      </c>
      <c r="L26" s="24">
        <f t="shared" si="2"/>
        <v>66.666666666666657</v>
      </c>
      <c r="M26" s="9">
        <f>L26*Parameters!$B$18</f>
        <v>7333.3333333333321</v>
      </c>
      <c r="N26" s="9">
        <f t="shared" si="18"/>
        <v>77000</v>
      </c>
      <c r="O26" s="24">
        <f>$G26*Parameters!$E$5/60</f>
        <v>200</v>
      </c>
      <c r="P26" s="24">
        <f t="shared" si="19"/>
        <v>2100</v>
      </c>
      <c r="Q26" s="40">
        <f t="shared" si="3"/>
        <v>2.5</v>
      </c>
      <c r="R26" s="41" t="str">
        <f t="shared" si="11"/>
        <v>overloaded</v>
      </c>
      <c r="S26" s="9">
        <f t="shared" si="12"/>
        <v>13333.333333333332</v>
      </c>
      <c r="T26" s="9">
        <f t="shared" si="20"/>
        <v>140000</v>
      </c>
      <c r="V26" s="24">
        <f t="shared" si="4"/>
        <v>6.6666666666666661</v>
      </c>
      <c r="W26" s="9">
        <f>V26*Parameters!$B$17</f>
        <v>300</v>
      </c>
      <c r="X26" s="9">
        <f t="shared" si="21"/>
        <v>6000</v>
      </c>
      <c r="Y26" s="24">
        <f t="shared" si="5"/>
        <v>3.333333333333333</v>
      </c>
      <c r="Z26" s="9">
        <f>Y26*Parameters!$B$18</f>
        <v>366.66666666666663</v>
      </c>
      <c r="AA26" s="9">
        <f t="shared" si="22"/>
        <v>7333.3333333333348</v>
      </c>
      <c r="AB26" s="9">
        <f>DurationOfIteration*Parameters!$H$8</f>
        <v>634.61538461538464</v>
      </c>
      <c r="AC26" s="9">
        <f t="shared" si="6"/>
        <v>46.153846153846153</v>
      </c>
      <c r="AD26" s="9">
        <f t="shared" si="7"/>
        <v>123.07692307692309</v>
      </c>
      <c r="AE26" s="24">
        <f>$F26*Parameters!$E$6/60</f>
        <v>10</v>
      </c>
      <c r="AF26" s="24">
        <f t="shared" si="23"/>
        <v>200</v>
      </c>
      <c r="AG26" s="40">
        <f t="shared" si="8"/>
        <v>0.125</v>
      </c>
      <c r="AH26" s="9">
        <f t="shared" si="13"/>
        <v>1470.5128205128206</v>
      </c>
      <c r="AI26" s="9">
        <f t="shared" si="24"/>
        <v>29410.25641025641</v>
      </c>
      <c r="AK26" s="8">
        <f t="shared" si="14"/>
        <v>110589.74358974359</v>
      </c>
      <c r="AL26" s="14" t="str">
        <f t="shared" si="15"/>
        <v/>
      </c>
    </row>
    <row r="27" spans="1:38" x14ac:dyDescent="0.45">
      <c r="A27" s="6">
        <f t="shared" si="0"/>
        <v>3</v>
      </c>
      <c r="B27" s="38">
        <v>21</v>
      </c>
      <c r="C27" s="38" t="str">
        <f t="shared" si="9"/>
        <v/>
      </c>
      <c r="D27" s="14" t="str">
        <f t="shared" si="10"/>
        <v>Iteration 21</v>
      </c>
      <c r="E27" s="7">
        <f>E26+Parameters!$B$6</f>
        <v>40</v>
      </c>
      <c r="F27" s="8">
        <f>Parameters!$E$4</f>
        <v>40</v>
      </c>
      <c r="G27" s="8">
        <f t="shared" si="16"/>
        <v>840</v>
      </c>
      <c r="H27" s="2"/>
      <c r="I27" s="24">
        <f t="shared" si="1"/>
        <v>140</v>
      </c>
      <c r="J27" s="9">
        <f>I27*Parameters!$B$17</f>
        <v>6300</v>
      </c>
      <c r="K27" s="9">
        <f t="shared" si="17"/>
        <v>69300</v>
      </c>
      <c r="L27" s="24">
        <f t="shared" si="2"/>
        <v>70</v>
      </c>
      <c r="M27" s="9">
        <f>L27*Parameters!$B$18</f>
        <v>7700</v>
      </c>
      <c r="N27" s="9">
        <f t="shared" si="18"/>
        <v>84700</v>
      </c>
      <c r="O27" s="24">
        <f>$G27*Parameters!$E$5/60</f>
        <v>210</v>
      </c>
      <c r="P27" s="24">
        <f t="shared" si="19"/>
        <v>2310</v>
      </c>
      <c r="Q27" s="40">
        <f t="shared" si="3"/>
        <v>2.625</v>
      </c>
      <c r="R27" s="41" t="str">
        <f t="shared" si="11"/>
        <v>overloaded</v>
      </c>
      <c r="S27" s="9">
        <f t="shared" si="12"/>
        <v>14000</v>
      </c>
      <c r="T27" s="9">
        <f t="shared" si="20"/>
        <v>154000</v>
      </c>
      <c r="V27" s="24">
        <f t="shared" si="4"/>
        <v>6.6666666666666661</v>
      </c>
      <c r="W27" s="9">
        <f>V27*Parameters!$B$17</f>
        <v>300</v>
      </c>
      <c r="X27" s="9">
        <f t="shared" si="21"/>
        <v>6300</v>
      </c>
      <c r="Y27" s="24">
        <f t="shared" si="5"/>
        <v>3.333333333333333</v>
      </c>
      <c r="Z27" s="9">
        <f>Y27*Parameters!$B$18</f>
        <v>366.66666666666663</v>
      </c>
      <c r="AA27" s="9">
        <f t="shared" si="22"/>
        <v>7700.0000000000018</v>
      </c>
      <c r="AB27" s="9">
        <f>DurationOfIteration*Parameters!$H$8</f>
        <v>634.61538461538464</v>
      </c>
      <c r="AC27" s="9">
        <f t="shared" si="6"/>
        <v>46.153846153846153</v>
      </c>
      <c r="AD27" s="9">
        <f t="shared" si="7"/>
        <v>123.07692307692309</v>
      </c>
      <c r="AE27" s="24">
        <f>$F27*Parameters!$E$6/60</f>
        <v>10</v>
      </c>
      <c r="AF27" s="24">
        <f t="shared" si="23"/>
        <v>210</v>
      </c>
      <c r="AG27" s="40">
        <f t="shared" si="8"/>
        <v>0.125</v>
      </c>
      <c r="AH27" s="9">
        <f t="shared" si="13"/>
        <v>1470.5128205128206</v>
      </c>
      <c r="AI27" s="9">
        <f t="shared" si="24"/>
        <v>30880.76923076923</v>
      </c>
      <c r="AK27" s="8">
        <f t="shared" si="14"/>
        <v>123119.23076923077</v>
      </c>
      <c r="AL27" s="14" t="str">
        <f t="shared" si="15"/>
        <v/>
      </c>
    </row>
    <row r="28" spans="1:38" x14ac:dyDescent="0.45">
      <c r="A28" s="6">
        <f t="shared" si="0"/>
        <v>3</v>
      </c>
      <c r="B28" s="38">
        <v>22</v>
      </c>
      <c r="C28" s="38" t="str">
        <f t="shared" si="9"/>
        <v/>
      </c>
      <c r="D28" s="14" t="str">
        <f t="shared" si="10"/>
        <v>Iteration 22</v>
      </c>
      <c r="E28" s="7">
        <f>E27+Parameters!$B$6</f>
        <v>42</v>
      </c>
      <c r="F28" s="8">
        <f>Parameters!$E$4</f>
        <v>40</v>
      </c>
      <c r="G28" s="8">
        <f t="shared" si="16"/>
        <v>880</v>
      </c>
      <c r="H28" s="2"/>
      <c r="I28" s="24">
        <f t="shared" si="1"/>
        <v>146.66666666666666</v>
      </c>
      <c r="J28" s="9">
        <f>I28*Parameters!$B$17</f>
        <v>6600</v>
      </c>
      <c r="K28" s="9">
        <f t="shared" si="17"/>
        <v>75900</v>
      </c>
      <c r="L28" s="24">
        <f t="shared" si="2"/>
        <v>73.333333333333329</v>
      </c>
      <c r="M28" s="9">
        <f>L28*Parameters!$B$18</f>
        <v>8066.6666666666661</v>
      </c>
      <c r="N28" s="9">
        <f t="shared" si="18"/>
        <v>92766.666666666672</v>
      </c>
      <c r="O28" s="24">
        <f>$G28*Parameters!$E$5/60</f>
        <v>220</v>
      </c>
      <c r="P28" s="24">
        <f t="shared" si="19"/>
        <v>2530</v>
      </c>
      <c r="Q28" s="40">
        <f t="shared" si="3"/>
        <v>2.75</v>
      </c>
      <c r="R28" s="41" t="str">
        <f t="shared" si="11"/>
        <v>overloaded</v>
      </c>
      <c r="S28" s="9">
        <f t="shared" si="12"/>
        <v>14666.666666666666</v>
      </c>
      <c r="T28" s="9">
        <f t="shared" si="20"/>
        <v>168666.66666666666</v>
      </c>
      <c r="V28" s="24">
        <f t="shared" si="4"/>
        <v>6.6666666666666661</v>
      </c>
      <c r="W28" s="9">
        <f>V28*Parameters!$B$17</f>
        <v>300</v>
      </c>
      <c r="X28" s="9">
        <f t="shared" si="21"/>
        <v>6600</v>
      </c>
      <c r="Y28" s="24">
        <f t="shared" si="5"/>
        <v>3.333333333333333</v>
      </c>
      <c r="Z28" s="9">
        <f>Y28*Parameters!$B$18</f>
        <v>366.66666666666663</v>
      </c>
      <c r="AA28" s="9">
        <f t="shared" si="22"/>
        <v>8066.6666666666688</v>
      </c>
      <c r="AB28" s="9">
        <f>DurationOfIteration*Parameters!$H$8</f>
        <v>634.61538461538464</v>
      </c>
      <c r="AC28" s="9">
        <f t="shared" si="6"/>
        <v>46.153846153846153</v>
      </c>
      <c r="AD28" s="9">
        <f t="shared" si="7"/>
        <v>123.07692307692309</v>
      </c>
      <c r="AE28" s="24">
        <f>$F28*Parameters!$E$6/60</f>
        <v>10</v>
      </c>
      <c r="AF28" s="24">
        <f t="shared" si="23"/>
        <v>220</v>
      </c>
      <c r="AG28" s="40">
        <f t="shared" si="8"/>
        <v>0.125</v>
      </c>
      <c r="AH28" s="9">
        <f t="shared" si="13"/>
        <v>1470.5128205128206</v>
      </c>
      <c r="AI28" s="9">
        <f t="shared" si="24"/>
        <v>32351.282051282051</v>
      </c>
      <c r="AK28" s="8">
        <f t="shared" si="14"/>
        <v>136315.3846153846</v>
      </c>
      <c r="AL28" s="14" t="str">
        <f t="shared" si="15"/>
        <v/>
      </c>
    </row>
    <row r="29" spans="1:38" x14ac:dyDescent="0.45">
      <c r="A29" s="6">
        <f t="shared" si="0"/>
        <v>3</v>
      </c>
      <c r="B29" s="38">
        <v>23</v>
      </c>
      <c r="C29" s="38" t="str">
        <f t="shared" si="9"/>
        <v/>
      </c>
      <c r="D29" s="14" t="str">
        <f t="shared" si="10"/>
        <v>Iteration 23</v>
      </c>
      <c r="E29" s="7">
        <f>E28+Parameters!$B$6</f>
        <v>44</v>
      </c>
      <c r="F29" s="8">
        <f>Parameters!$E$4</f>
        <v>40</v>
      </c>
      <c r="G29" s="8">
        <f t="shared" si="16"/>
        <v>920</v>
      </c>
      <c r="H29" s="2"/>
      <c r="I29" s="24">
        <f t="shared" si="1"/>
        <v>153.33333333333331</v>
      </c>
      <c r="J29" s="9">
        <f>I29*Parameters!$B$17</f>
        <v>6899.9999999999991</v>
      </c>
      <c r="K29" s="9">
        <f t="shared" si="17"/>
        <v>82800</v>
      </c>
      <c r="L29" s="24">
        <f t="shared" si="2"/>
        <v>76.666666666666657</v>
      </c>
      <c r="M29" s="9">
        <f>L29*Parameters!$B$18</f>
        <v>8433.3333333333321</v>
      </c>
      <c r="N29" s="9">
        <f t="shared" si="18"/>
        <v>101200</v>
      </c>
      <c r="O29" s="24">
        <f>$G29*Parameters!$E$5/60</f>
        <v>230</v>
      </c>
      <c r="P29" s="24">
        <f t="shared" si="19"/>
        <v>2760</v>
      </c>
      <c r="Q29" s="40">
        <f t="shared" si="3"/>
        <v>2.875</v>
      </c>
      <c r="R29" s="41" t="str">
        <f t="shared" si="11"/>
        <v>overloaded</v>
      </c>
      <c r="S29" s="9">
        <f t="shared" si="12"/>
        <v>15333.333333333332</v>
      </c>
      <c r="T29" s="9">
        <f t="shared" si="20"/>
        <v>184000</v>
      </c>
      <c r="V29" s="24">
        <f t="shared" si="4"/>
        <v>6.6666666666666661</v>
      </c>
      <c r="W29" s="9">
        <f>V29*Parameters!$B$17</f>
        <v>300</v>
      </c>
      <c r="X29" s="9">
        <f t="shared" si="21"/>
        <v>6900</v>
      </c>
      <c r="Y29" s="24">
        <f t="shared" si="5"/>
        <v>3.333333333333333</v>
      </c>
      <c r="Z29" s="9">
        <f>Y29*Parameters!$B$18</f>
        <v>366.66666666666663</v>
      </c>
      <c r="AA29" s="9">
        <f t="shared" si="22"/>
        <v>8433.3333333333358</v>
      </c>
      <c r="AB29" s="9">
        <f>DurationOfIteration*Parameters!$H$8</f>
        <v>634.61538461538464</v>
      </c>
      <c r="AC29" s="9">
        <f t="shared" si="6"/>
        <v>46.153846153846153</v>
      </c>
      <c r="AD29" s="9">
        <f t="shared" si="7"/>
        <v>123.07692307692309</v>
      </c>
      <c r="AE29" s="24">
        <f>$F29*Parameters!$E$6/60</f>
        <v>10</v>
      </c>
      <c r="AF29" s="24">
        <f t="shared" si="23"/>
        <v>230</v>
      </c>
      <c r="AG29" s="40">
        <f t="shared" si="8"/>
        <v>0.125</v>
      </c>
      <c r="AH29" s="9">
        <f t="shared" si="13"/>
        <v>1470.5128205128206</v>
      </c>
      <c r="AI29" s="9">
        <f t="shared" si="24"/>
        <v>33821.794871794875</v>
      </c>
      <c r="AK29" s="8">
        <f t="shared" si="14"/>
        <v>150178.20512820513</v>
      </c>
      <c r="AL29" s="14" t="str">
        <f t="shared" si="15"/>
        <v/>
      </c>
    </row>
    <row r="30" spans="1:38" x14ac:dyDescent="0.45">
      <c r="A30" s="6">
        <f t="shared" si="0"/>
        <v>3</v>
      </c>
      <c r="B30" s="38">
        <v>24</v>
      </c>
      <c r="C30" s="38" t="str">
        <f t="shared" si="9"/>
        <v/>
      </c>
      <c r="D30" s="14" t="str">
        <f t="shared" si="10"/>
        <v>Iteration 24</v>
      </c>
      <c r="E30" s="7">
        <f>E29+Parameters!$B$6</f>
        <v>46</v>
      </c>
      <c r="F30" s="8">
        <f>Parameters!$E$4</f>
        <v>40</v>
      </c>
      <c r="G30" s="8">
        <f t="shared" si="16"/>
        <v>960</v>
      </c>
      <c r="H30" s="2"/>
      <c r="I30" s="24">
        <f t="shared" si="1"/>
        <v>160</v>
      </c>
      <c r="J30" s="9">
        <f>I30*Parameters!$B$17</f>
        <v>7200</v>
      </c>
      <c r="K30" s="9">
        <f t="shared" si="17"/>
        <v>90000</v>
      </c>
      <c r="L30" s="24">
        <f t="shared" si="2"/>
        <v>80</v>
      </c>
      <c r="M30" s="9">
        <f>L30*Parameters!$B$18</f>
        <v>8800</v>
      </c>
      <c r="N30" s="9">
        <f t="shared" si="18"/>
        <v>110000</v>
      </c>
      <c r="O30" s="24">
        <f>$G30*Parameters!$E$5/60</f>
        <v>240</v>
      </c>
      <c r="P30" s="24">
        <f t="shared" si="19"/>
        <v>3000</v>
      </c>
      <c r="Q30" s="40">
        <f t="shared" si="3"/>
        <v>3</v>
      </c>
      <c r="R30" s="41" t="str">
        <f t="shared" si="11"/>
        <v>overloaded</v>
      </c>
      <c r="S30" s="9">
        <f t="shared" si="12"/>
        <v>16000</v>
      </c>
      <c r="T30" s="9">
        <f t="shared" si="20"/>
        <v>200000</v>
      </c>
      <c r="V30" s="24">
        <f t="shared" si="4"/>
        <v>6.6666666666666661</v>
      </c>
      <c r="W30" s="9">
        <f>V30*Parameters!$B$17</f>
        <v>300</v>
      </c>
      <c r="X30" s="9">
        <f t="shared" si="21"/>
        <v>7200</v>
      </c>
      <c r="Y30" s="24">
        <f t="shared" si="5"/>
        <v>3.333333333333333</v>
      </c>
      <c r="Z30" s="9">
        <f>Y30*Parameters!$B$18</f>
        <v>366.66666666666663</v>
      </c>
      <c r="AA30" s="9">
        <f t="shared" si="22"/>
        <v>8800.0000000000018</v>
      </c>
      <c r="AB30" s="9">
        <f>DurationOfIteration*Parameters!$H$8</f>
        <v>634.61538461538464</v>
      </c>
      <c r="AC30" s="9">
        <f t="shared" si="6"/>
        <v>46.153846153846153</v>
      </c>
      <c r="AD30" s="9">
        <f t="shared" si="7"/>
        <v>123.07692307692309</v>
      </c>
      <c r="AE30" s="24">
        <f>$F30*Parameters!$E$6/60</f>
        <v>10</v>
      </c>
      <c r="AF30" s="24">
        <f t="shared" si="23"/>
        <v>240</v>
      </c>
      <c r="AG30" s="40">
        <f t="shared" si="8"/>
        <v>0.125</v>
      </c>
      <c r="AH30" s="9">
        <f t="shared" si="13"/>
        <v>1470.5128205128206</v>
      </c>
      <c r="AI30" s="9">
        <f t="shared" si="24"/>
        <v>35292.307692307695</v>
      </c>
      <c r="AK30" s="8">
        <f t="shared" si="14"/>
        <v>164707.69230769231</v>
      </c>
      <c r="AL30" s="14" t="str">
        <f t="shared" si="15"/>
        <v/>
      </c>
    </row>
    <row r="31" spans="1:38" x14ac:dyDescent="0.45">
      <c r="A31" s="6">
        <f t="shared" si="0"/>
        <v>3</v>
      </c>
      <c r="B31" s="38">
        <v>25</v>
      </c>
      <c r="C31" s="38" t="str">
        <f t="shared" si="9"/>
        <v/>
      </c>
      <c r="D31" s="14" t="str">
        <f t="shared" si="10"/>
        <v>Iteration 25</v>
      </c>
      <c r="E31" s="7">
        <f>E30+Parameters!$B$6</f>
        <v>48</v>
      </c>
      <c r="F31" s="8">
        <f>Parameters!$E$4</f>
        <v>40</v>
      </c>
      <c r="G31" s="8">
        <f t="shared" si="16"/>
        <v>1000</v>
      </c>
      <c r="H31" s="2"/>
      <c r="I31" s="24">
        <f t="shared" si="1"/>
        <v>166.66666666666666</v>
      </c>
      <c r="J31" s="9">
        <f>I31*Parameters!$B$17</f>
        <v>7500</v>
      </c>
      <c r="K31" s="9">
        <f t="shared" si="17"/>
        <v>97500</v>
      </c>
      <c r="L31" s="24">
        <f t="shared" si="2"/>
        <v>83.333333333333329</v>
      </c>
      <c r="M31" s="9">
        <f>L31*Parameters!$B$18</f>
        <v>9166.6666666666661</v>
      </c>
      <c r="N31" s="9">
        <f t="shared" si="18"/>
        <v>119166.66666666667</v>
      </c>
      <c r="O31" s="24">
        <f>$G31*Parameters!$E$5/60</f>
        <v>250</v>
      </c>
      <c r="P31" s="24">
        <f t="shared" si="19"/>
        <v>3250</v>
      </c>
      <c r="Q31" s="40">
        <f t="shared" si="3"/>
        <v>3.125</v>
      </c>
      <c r="R31" s="41" t="str">
        <f t="shared" si="11"/>
        <v>overloaded</v>
      </c>
      <c r="S31" s="9">
        <f t="shared" si="12"/>
        <v>16666.666666666664</v>
      </c>
      <c r="T31" s="9">
        <f t="shared" si="20"/>
        <v>216666.66666666666</v>
      </c>
      <c r="V31" s="24">
        <f t="shared" si="4"/>
        <v>6.6666666666666661</v>
      </c>
      <c r="W31" s="9">
        <f>V31*Parameters!$B$17</f>
        <v>300</v>
      </c>
      <c r="X31" s="9">
        <f t="shared" si="21"/>
        <v>7500</v>
      </c>
      <c r="Y31" s="24">
        <f t="shared" si="5"/>
        <v>3.333333333333333</v>
      </c>
      <c r="Z31" s="9">
        <f>Y31*Parameters!$B$18</f>
        <v>366.66666666666663</v>
      </c>
      <c r="AA31" s="9">
        <f t="shared" si="22"/>
        <v>9166.6666666666679</v>
      </c>
      <c r="AB31" s="9">
        <f>DurationOfIteration*Parameters!$H$8</f>
        <v>634.61538461538464</v>
      </c>
      <c r="AC31" s="9">
        <f t="shared" si="6"/>
        <v>46.153846153846153</v>
      </c>
      <c r="AD31" s="9">
        <f t="shared" si="7"/>
        <v>123.07692307692309</v>
      </c>
      <c r="AE31" s="24">
        <f>$F31*Parameters!$E$6/60</f>
        <v>10</v>
      </c>
      <c r="AF31" s="24">
        <f t="shared" si="23"/>
        <v>250</v>
      </c>
      <c r="AG31" s="40">
        <f t="shared" si="8"/>
        <v>0.125</v>
      </c>
      <c r="AH31" s="9">
        <f t="shared" si="13"/>
        <v>1470.5128205128206</v>
      </c>
      <c r="AI31" s="9">
        <f t="shared" si="24"/>
        <v>36762.820512820515</v>
      </c>
      <c r="AK31" s="8">
        <f t="shared" si="14"/>
        <v>179903.84615384613</v>
      </c>
      <c r="AL31" s="14" t="str">
        <f t="shared" si="15"/>
        <v/>
      </c>
    </row>
    <row r="32" spans="1:38" x14ac:dyDescent="0.45">
      <c r="A32" s="6">
        <f t="shared" si="0"/>
        <v>3</v>
      </c>
      <c r="B32" s="38">
        <v>26</v>
      </c>
      <c r="C32" s="38" t="str">
        <f t="shared" si="9"/>
        <v/>
      </c>
      <c r="D32" s="14" t="str">
        <f t="shared" si="10"/>
        <v>Iteration 26</v>
      </c>
      <c r="E32" s="7">
        <f>E31+Parameters!$B$6</f>
        <v>50</v>
      </c>
      <c r="F32" s="8">
        <f>Parameters!$E$4</f>
        <v>40</v>
      </c>
      <c r="G32" s="8">
        <f t="shared" si="16"/>
        <v>1040</v>
      </c>
      <c r="H32" s="2"/>
      <c r="I32" s="24">
        <f t="shared" si="1"/>
        <v>173.33333333333331</v>
      </c>
      <c r="J32" s="9">
        <f>I32*Parameters!$B$17</f>
        <v>7799.9999999999991</v>
      </c>
      <c r="K32" s="9">
        <f t="shared" si="17"/>
        <v>105300</v>
      </c>
      <c r="L32" s="24">
        <f t="shared" si="2"/>
        <v>86.666666666666657</v>
      </c>
      <c r="M32" s="9">
        <f>L32*Parameters!$B$18</f>
        <v>9533.3333333333321</v>
      </c>
      <c r="N32" s="9">
        <f t="shared" si="18"/>
        <v>128700</v>
      </c>
      <c r="O32" s="24">
        <f>$G32*Parameters!$E$5/60</f>
        <v>260</v>
      </c>
      <c r="P32" s="24">
        <f t="shared" si="19"/>
        <v>3510</v>
      </c>
      <c r="Q32" s="40">
        <f t="shared" si="3"/>
        <v>3.25</v>
      </c>
      <c r="R32" s="41" t="str">
        <f t="shared" si="11"/>
        <v>overloaded</v>
      </c>
      <c r="S32" s="9">
        <f t="shared" si="12"/>
        <v>17333.333333333332</v>
      </c>
      <c r="T32" s="9">
        <f t="shared" si="20"/>
        <v>234000</v>
      </c>
      <c r="V32" s="24">
        <f t="shared" si="4"/>
        <v>6.6666666666666661</v>
      </c>
      <c r="W32" s="9">
        <f>V32*Parameters!$B$17</f>
        <v>300</v>
      </c>
      <c r="X32" s="9">
        <f t="shared" si="21"/>
        <v>7800</v>
      </c>
      <c r="Y32" s="24">
        <f t="shared" si="5"/>
        <v>3.333333333333333</v>
      </c>
      <c r="Z32" s="9">
        <f>Y32*Parameters!$B$18</f>
        <v>366.66666666666663</v>
      </c>
      <c r="AA32" s="9">
        <f t="shared" si="22"/>
        <v>9533.3333333333339</v>
      </c>
      <c r="AB32" s="9">
        <f>DurationOfIteration*Parameters!$H$8</f>
        <v>634.61538461538464</v>
      </c>
      <c r="AC32" s="9">
        <f t="shared" si="6"/>
        <v>46.153846153846153</v>
      </c>
      <c r="AD32" s="9">
        <f t="shared" si="7"/>
        <v>123.07692307692309</v>
      </c>
      <c r="AE32" s="24">
        <f>$F32*Parameters!$E$6/60</f>
        <v>10</v>
      </c>
      <c r="AF32" s="24">
        <f t="shared" si="23"/>
        <v>260</v>
      </c>
      <c r="AG32" s="40">
        <f t="shared" si="8"/>
        <v>0.125</v>
      </c>
      <c r="AH32" s="9">
        <f t="shared" si="13"/>
        <v>1470.5128205128206</v>
      </c>
      <c r="AI32" s="9">
        <f t="shared" si="24"/>
        <v>38233.333333333336</v>
      </c>
      <c r="AK32" s="8">
        <f t="shared" si="14"/>
        <v>195766.66666666666</v>
      </c>
      <c r="AL32" s="14" t="str">
        <f t="shared" si="15"/>
        <v/>
      </c>
    </row>
    <row r="33" spans="1:38" x14ac:dyDescent="0.45">
      <c r="A33" s="6">
        <f t="shared" si="0"/>
        <v>3</v>
      </c>
      <c r="B33" s="38">
        <v>27</v>
      </c>
      <c r="C33" s="38" t="str">
        <f t="shared" si="9"/>
        <v/>
      </c>
      <c r="D33" s="14" t="str">
        <f t="shared" si="10"/>
        <v>Iteration 27</v>
      </c>
      <c r="E33" s="7">
        <f>E32+Parameters!$B$6</f>
        <v>52</v>
      </c>
      <c r="F33" s="8">
        <f>Parameters!$E$4</f>
        <v>40</v>
      </c>
      <c r="G33" s="8">
        <f t="shared" si="16"/>
        <v>1080</v>
      </c>
      <c r="H33" s="2"/>
      <c r="I33" s="24">
        <f t="shared" si="1"/>
        <v>180</v>
      </c>
      <c r="J33" s="9">
        <f>I33*Parameters!$B$17</f>
        <v>8100</v>
      </c>
      <c r="K33" s="9">
        <f t="shared" si="17"/>
        <v>113400</v>
      </c>
      <c r="L33" s="24">
        <f t="shared" si="2"/>
        <v>90</v>
      </c>
      <c r="M33" s="9">
        <f>L33*Parameters!$B$18</f>
        <v>9900</v>
      </c>
      <c r="N33" s="9">
        <f t="shared" si="18"/>
        <v>138600</v>
      </c>
      <c r="O33" s="24">
        <f>$G33*Parameters!$E$5/60</f>
        <v>270</v>
      </c>
      <c r="P33" s="24">
        <f t="shared" si="19"/>
        <v>3780</v>
      </c>
      <c r="Q33" s="40">
        <f t="shared" si="3"/>
        <v>3.375</v>
      </c>
      <c r="R33" s="41" t="str">
        <f t="shared" si="11"/>
        <v>overloaded</v>
      </c>
      <c r="S33" s="9">
        <f t="shared" si="12"/>
        <v>18000</v>
      </c>
      <c r="T33" s="9">
        <f t="shared" si="20"/>
        <v>252000</v>
      </c>
      <c r="V33" s="24">
        <f t="shared" si="4"/>
        <v>6.6666666666666661</v>
      </c>
      <c r="W33" s="9">
        <f>V33*Parameters!$B$17</f>
        <v>300</v>
      </c>
      <c r="X33" s="9">
        <f t="shared" si="21"/>
        <v>8100</v>
      </c>
      <c r="Y33" s="24">
        <f t="shared" si="5"/>
        <v>3.333333333333333</v>
      </c>
      <c r="Z33" s="9">
        <f>Y33*Parameters!$B$18</f>
        <v>366.66666666666663</v>
      </c>
      <c r="AA33" s="9">
        <f t="shared" si="22"/>
        <v>9900</v>
      </c>
      <c r="AB33" s="9">
        <f>DurationOfIteration*Parameters!$H$8</f>
        <v>634.61538461538464</v>
      </c>
      <c r="AC33" s="9">
        <f t="shared" si="6"/>
        <v>46.153846153846153</v>
      </c>
      <c r="AD33" s="9">
        <f t="shared" si="7"/>
        <v>123.07692307692309</v>
      </c>
      <c r="AE33" s="24">
        <f>$F33*Parameters!$E$6/60</f>
        <v>10</v>
      </c>
      <c r="AF33" s="24">
        <f t="shared" si="23"/>
        <v>270</v>
      </c>
      <c r="AG33" s="40">
        <f t="shared" si="8"/>
        <v>0.125</v>
      </c>
      <c r="AH33" s="9">
        <f t="shared" si="13"/>
        <v>1470.5128205128206</v>
      </c>
      <c r="AI33" s="9">
        <f t="shared" si="24"/>
        <v>39703.846153846156</v>
      </c>
      <c r="AK33" s="8">
        <f t="shared" si="14"/>
        <v>212296.15384615384</v>
      </c>
      <c r="AL33" s="14" t="str">
        <f t="shared" si="15"/>
        <v/>
      </c>
    </row>
    <row r="34" spans="1:38" ht="18" x14ac:dyDescent="0.55000000000000004">
      <c r="A34" s="67" t="s">
        <v>12</v>
      </c>
      <c r="B34" s="67"/>
      <c r="C34" s="67"/>
      <c r="D34" s="67"/>
      <c r="E34" s="3">
        <f>E33+Parameters!$B$6</f>
        <v>54</v>
      </c>
      <c r="F34" s="4">
        <f>SUM(F7:F33)</f>
        <v>1080</v>
      </c>
      <c r="G34" s="4">
        <f>G33</f>
        <v>1080</v>
      </c>
      <c r="H34" s="2"/>
      <c r="I34" s="5">
        <f t="shared" ref="I34:J34" si="25">SUM(I7:I33)</f>
        <v>2520</v>
      </c>
      <c r="J34" s="5">
        <f t="shared" si="25"/>
        <v>113400</v>
      </c>
      <c r="K34" s="5"/>
      <c r="L34" s="5">
        <f>SUM(L7:L33)</f>
        <v>1260</v>
      </c>
      <c r="M34" s="5">
        <f>SUM(M7:M33)</f>
        <v>138600</v>
      </c>
      <c r="N34" s="5"/>
      <c r="O34" s="5">
        <f>SUM(O7:O33)</f>
        <v>3780</v>
      </c>
      <c r="P34" s="5"/>
      <c r="Q34" s="5"/>
      <c r="R34" s="5"/>
      <c r="S34" s="5">
        <f>SUM(S7:S33)</f>
        <v>252000</v>
      </c>
      <c r="T34" s="5"/>
      <c r="U34" s="1"/>
      <c r="V34" s="5">
        <f t="shared" ref="V34:W34" si="26">SUM(V7:V33)</f>
        <v>179.99999999999997</v>
      </c>
      <c r="W34" s="5">
        <f t="shared" si="26"/>
        <v>8100</v>
      </c>
      <c r="X34" s="5"/>
      <c r="Y34" s="5">
        <f>SUM(Y7:Y33)</f>
        <v>89.999999999999986</v>
      </c>
      <c r="Z34" s="5">
        <f>SUM(Z7:Z33)</f>
        <v>9900</v>
      </c>
      <c r="AA34" s="5"/>
      <c r="AB34" s="5">
        <f>SUM(AB7:AB33)</f>
        <v>17134.615384615383</v>
      </c>
      <c r="AC34" s="5">
        <f>SUM(AC7:AC33)</f>
        <v>1246.1538461538464</v>
      </c>
      <c r="AD34" s="5">
        <f>SUM(AD7:AD33)</f>
        <v>3323.076923076921</v>
      </c>
      <c r="AE34" s="5">
        <f>SUM(AE7:AE33)</f>
        <v>270</v>
      </c>
      <c r="AF34" s="5"/>
      <c r="AG34" s="5"/>
      <c r="AH34" s="5">
        <f>SUM(AH7:AH33)</f>
        <v>39703.846153846156</v>
      </c>
      <c r="AI34" s="5"/>
      <c r="AK34" s="39"/>
      <c r="AL34" s="39"/>
    </row>
    <row r="52" spans="4:4" x14ac:dyDescent="0.45">
      <c r="D52" t="s">
        <v>2</v>
      </c>
    </row>
  </sheetData>
  <mergeCells count="16">
    <mergeCell ref="A34:D34"/>
    <mergeCell ref="C2:L2"/>
    <mergeCell ref="AK4:AL4"/>
    <mergeCell ref="Y5:AA5"/>
    <mergeCell ref="I5:K5"/>
    <mergeCell ref="L5:N5"/>
    <mergeCell ref="V4:AI4"/>
    <mergeCell ref="AE5:AI5"/>
    <mergeCell ref="O5:T5"/>
    <mergeCell ref="I4:T4"/>
    <mergeCell ref="AK5:AK6"/>
    <mergeCell ref="AL5:AL6"/>
    <mergeCell ref="Q6:R6"/>
    <mergeCell ref="AB5:AD5"/>
    <mergeCell ref="V5:X5"/>
    <mergeCell ref="A4:G4"/>
  </mergeCells>
  <conditionalFormatting sqref="AK7:AK33">
    <cfRule type="cellIs" dxfId="3" priority="5" operator="greaterThanOrEqual">
      <formula>0</formula>
    </cfRule>
    <cfRule type="cellIs" dxfId="2" priority="6" operator="lessThan">
      <formula>0</formula>
    </cfRule>
  </conditionalFormatting>
  <conditionalFormatting sqref="Q7:R33">
    <cfRule type="cellIs" dxfId="1" priority="2" operator="greaterThanOrEqual">
      <formula>1</formula>
    </cfRule>
  </conditionalFormatting>
  <conditionalFormatting sqref="AG7:AG33">
    <cfRule type="cellIs" dxfId="0" priority="1" operator="greaterThanOrEqual">
      <formula>1</formula>
    </cfRule>
  </conditionalFormatting>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74C548F3C95C49B54589D4DB71004B" ma:contentTypeVersion="15" ma:contentTypeDescription="Create a new document." ma:contentTypeScope="" ma:versionID="31167cbe56c8099d996bc9f09a8fe8bb">
  <xsd:schema xmlns:xsd="http://www.w3.org/2001/XMLSchema" xmlns:xs="http://www.w3.org/2001/XMLSchema" xmlns:p="http://schemas.microsoft.com/office/2006/metadata/properties" xmlns:ns2="fbfee075-3bf0-4f02-b40f-51a4e166d65a" xmlns:ns3="a15ce0f8-87b2-4edd-9d0e-b5965c5846e4" targetNamespace="http://schemas.microsoft.com/office/2006/metadata/properties" ma:root="true" ma:fieldsID="597c3a941615b8c13ab7b5a530e6f25a" ns2:_="" ns3:_="">
    <xsd:import namespace="fbfee075-3bf0-4f02-b40f-51a4e166d65a"/>
    <xsd:import namespace="a15ce0f8-87b2-4edd-9d0e-b5965c5846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ee075-3bf0-4f02-b40f-51a4e166d6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0327032-e159-43b0-ad5e-ce18b4377e54"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5ce0f8-87b2-4edd-9d0e-b5965c5846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58d4f68-e5d6-4063-a274-50cbb997cdba}" ma:internalName="TaxCatchAll" ma:showField="CatchAllData" ma:web="a15ce0f8-87b2-4edd-9d0e-b5965c584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fee075-3bf0-4f02-b40f-51a4e166d65a">
      <Terms xmlns="http://schemas.microsoft.com/office/infopath/2007/PartnerControls"/>
    </lcf76f155ced4ddcb4097134ff3c332f>
    <TaxCatchAll xmlns="a15ce0f8-87b2-4edd-9d0e-b5965c5846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FCD206-7781-4F80-AC65-64D9138CD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ee075-3bf0-4f02-b40f-51a4e166d65a"/>
    <ds:schemaRef ds:uri="a15ce0f8-87b2-4edd-9d0e-b5965c584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9484EA-C9A2-4B25-8C7E-43CC12E8AA0D}">
  <ds:schemaRefs>
    <ds:schemaRef ds:uri="http://purl.org/dc/term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35115eda-38ca-4ab8-8eef-39d285e3762b"/>
    <ds:schemaRef ds:uri="http://schemas.microsoft.com/office/2006/metadata/properties"/>
    <ds:schemaRef ds:uri="fbfee075-3bf0-4f02-b40f-51a4e166d65a"/>
    <ds:schemaRef ds:uri="a15ce0f8-87b2-4edd-9d0e-b5965c5846e4"/>
  </ds:schemaRefs>
</ds:datastoreItem>
</file>

<file path=customXml/itemProps3.xml><?xml version="1.0" encoding="utf-8"?>
<ds:datastoreItem xmlns:ds="http://schemas.openxmlformats.org/officeDocument/2006/customXml" ds:itemID="{5331FBCE-184B-4924-A419-360D50B399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27</vt:i4>
      </vt:variant>
    </vt:vector>
  </HeadingPairs>
  <TitlesOfParts>
    <vt:vector size="31" baseType="lpstr">
      <vt:lpstr>Intro</vt:lpstr>
      <vt:lpstr>Parameters</vt:lpstr>
      <vt:lpstr>Results</vt:lpstr>
      <vt:lpstr>Simulation</vt:lpstr>
      <vt:lpstr>DurationOfIteration</vt:lpstr>
      <vt:lpstr>Edition</vt:lpstr>
      <vt:lpstr>EffortAutomatedTestCase</vt:lpstr>
      <vt:lpstr>EffortManualTestCase</vt:lpstr>
      <vt:lpstr>HardwareCostsWeekly</vt:lpstr>
      <vt:lpstr>HardwareCostsYearly</vt:lpstr>
      <vt:lpstr>Headcount</vt:lpstr>
      <vt:lpstr>NumberExternalFte</vt:lpstr>
      <vt:lpstr>NumberInternalFte</vt:lpstr>
      <vt:lpstr>NumberOfIterations</vt:lpstr>
      <vt:lpstr>NumberOfNewTestCasesPerIteration</vt:lpstr>
      <vt:lpstr>NumberOfReleases</vt:lpstr>
      <vt:lpstr>NumberOfTotalIterations</vt:lpstr>
      <vt:lpstr>NumberTotalFte</vt:lpstr>
      <vt:lpstr>ProjectDuration</vt:lpstr>
      <vt:lpstr>RateAverage</vt:lpstr>
      <vt:lpstr>RateExternalFte</vt:lpstr>
      <vt:lpstr>RateInternalFte</vt:lpstr>
      <vt:lpstr>SubscriptionPricePerUser</vt:lpstr>
      <vt:lpstr>SubscriptionPricePerWeek</vt:lpstr>
      <vt:lpstr>SubscriptionPricePerYear</vt:lpstr>
      <vt:lpstr>TrainingEffortPerHeadAndWeek</vt:lpstr>
      <vt:lpstr>TrainingEffortPerHeadAndYear</vt:lpstr>
      <vt:lpstr>UsersCount</vt:lpstr>
      <vt:lpstr>WorkdaysPerWeek</vt:lpstr>
      <vt:lpstr>WorkingHoursPerFte</vt:lpstr>
      <vt:lpstr>WorkingHoursPerIteration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Bolt</dc:creator>
  <cp:lastModifiedBy>Thomas Bolt | BiG EVAL</cp:lastModifiedBy>
  <dcterms:created xsi:type="dcterms:W3CDTF">2018-07-06T08:54:44Z</dcterms:created>
  <dcterms:modified xsi:type="dcterms:W3CDTF">2023-02-12T09:49:46Z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0x0101009925A5277F05714CB61C60C9343F0C7E</vt:lpwstr>
  </property>
  <property fmtid="{D5CDD505-2E9C-101B-9397-08002B2CF9AE}" pid="3" name="AuthorIds_UIVersion_1024">
    <vt:lpwstr>14</vt:lpwstr>
  </property>
  <property fmtid="{D5CDD505-2E9C-101B-9397-08002B2CF9AE}" pid="4" name="AuthorIds_UIVersion_1536">
    <vt:lpwstr>6</vt:lpwstr>
  </property>
  <property fmtid="{D5CDD505-2E9C-101B-9397-08002B2CF9AE}" pid="5" name="Generator">
    <vt:lpwstr>NPOI</vt:lpwstr>
  </property>
  <property fmtid="{D5CDD505-2E9C-101B-9397-08002B2CF9AE}" pid="6" name="Generator Version">
    <vt:lpwstr>2.5.6</vt:lpwstr>
  </property>
  <property fmtid="{D5CDD505-2E9C-101B-9397-08002B2CF9AE}" pid="7" name="MediaServiceImageTags">
    <vt:lpwstr/>
  </property>
</Properties>
</file>